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M:\CROPS\Oil Crops\Oil Crops Outlook Files MASH\Outlook reports\November 2021\"/>
    </mc:Choice>
  </mc:AlternateContent>
  <xr:revisionPtr revIDLastSave="0" documentId="13_ncr:1_{E522C82F-6C1F-4478-8FF4-E7D1FA1E9BED}" xr6:coauthVersionLast="46" xr6:coauthVersionMax="46" xr10:uidLastSave="{00000000-0000-0000-0000-000000000000}"/>
  <bookViews>
    <workbookView xWindow="-120" yWindow="-120" windowWidth="20730" windowHeight="11160" tabRatio="682" xr2:uid="{00000000-000D-0000-FFFF-FFFF00000000}"/>
  </bookViews>
  <sheets>
    <sheet name="Contents" sheetId="10" r:id="rId1"/>
    <sheet name="Table 1" sheetId="1" r:id="rId2"/>
    <sheet name="Table 2" sheetId="2" r:id="rId3"/>
    <sheet name="Table 3" sheetId="9" r:id="rId4"/>
    <sheet name="Tables 4-7" sheetId="3" r:id="rId5"/>
    <sheet name="Table 8" sheetId="4" r:id="rId6"/>
    <sheet name="Table 9" sheetId="5" r:id="rId7"/>
    <sheet name="Table 10" sheetId="6" r:id="rId8"/>
    <sheet name="Cover" sheetId="42" r:id="rId9"/>
    <sheet name="Figure 1" sheetId="43" r:id="rId10"/>
    <sheet name="Figure 2" sheetId="38" r:id="rId11"/>
    <sheet name="Figure 3" sheetId="44" r:id="rId12"/>
    <sheet name="Figure 4" sheetId="46" r:id="rId13"/>
  </sheets>
  <definedNames>
    <definedName name="_xlnm.Print_Area" localSheetId="1">'Table 1'!$A$1:$N$34</definedName>
    <definedName name="_xlnm.Print_Area" localSheetId="7">'Table 10'!$A$1:$G$37</definedName>
    <definedName name="_xlnm.Print_Area" localSheetId="2">'Table 2'!$A$1:$J$40</definedName>
    <definedName name="_xlnm.Print_Area" localSheetId="3">'Table 3'!$A$1:$L$53</definedName>
    <definedName name="_xlnm.Print_Area" localSheetId="5">'Table 8'!$A$1:$G$35</definedName>
    <definedName name="_xlnm.Print_Area" localSheetId="6">'Table 9'!$A$1:$I$37</definedName>
    <definedName name="_xlnm.Print_Area" localSheetId="4">'Tables 4-7'!$A$1:$O$52</definedName>
    <definedName name="WASDE_Updated" localSheetId="0">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3" l="1"/>
  <c r="B20" i="3"/>
  <c r="D35" i="9" l="1"/>
  <c r="D32" i="9"/>
  <c r="D31" i="9"/>
  <c r="D30" i="9"/>
  <c r="D29" i="9"/>
  <c r="D28" i="9"/>
  <c r="D27" i="9"/>
  <c r="D26" i="9"/>
  <c r="D21" i="9"/>
  <c r="D18" i="9"/>
  <c r="D17" i="9"/>
  <c r="D16" i="9"/>
  <c r="D14" i="9"/>
  <c r="D13" i="9"/>
  <c r="D12" i="9"/>
  <c r="D11" i="9"/>
  <c r="K37" i="9"/>
  <c r="J37" i="9"/>
  <c r="E37" i="9"/>
  <c r="D37" i="9"/>
  <c r="I37" i="2"/>
  <c r="H37" i="2"/>
  <c r="E37" i="2"/>
  <c r="D37" i="2"/>
  <c r="L31" i="1"/>
  <c r="G31" i="1"/>
  <c r="G37" i="9" l="1"/>
  <c r="G37" i="2"/>
  <c r="J31" i="1"/>
  <c r="E31" i="1"/>
  <c r="I36" i="9" l="1"/>
  <c r="J7" i="9"/>
  <c r="L7" i="9"/>
  <c r="J38" i="9"/>
  <c r="H38" i="9"/>
  <c r="D38" i="9"/>
  <c r="D7" i="9" s="1"/>
  <c r="C38" i="9"/>
  <c r="C7" i="9" s="1"/>
  <c r="B37" i="9"/>
  <c r="I7" i="2"/>
  <c r="H7" i="2"/>
  <c r="J7" i="2"/>
  <c r="J6" i="2"/>
  <c r="H6" i="1"/>
  <c r="M6" i="1" s="1"/>
  <c r="K6" i="1" s="1"/>
  <c r="N7" i="1"/>
  <c r="I38" i="2"/>
  <c r="H38" i="2"/>
  <c r="G38" i="2"/>
  <c r="G7" i="2" s="1"/>
  <c r="D38" i="2"/>
  <c r="D7" i="2" s="1"/>
  <c r="C38" i="2"/>
  <c r="C7" i="2" s="1"/>
  <c r="B37" i="2"/>
  <c r="D6" i="1"/>
  <c r="J36" i="9"/>
  <c r="D36" i="9"/>
  <c r="H36" i="2"/>
  <c r="D36" i="2"/>
  <c r="L26" i="1"/>
  <c r="G26" i="1"/>
  <c r="E36" i="2" l="1"/>
  <c r="I36" i="2" s="1"/>
  <c r="G36" i="2" s="1"/>
  <c r="E36" i="9"/>
  <c r="K36" i="9" s="1"/>
  <c r="J26" i="1"/>
  <c r="J25" i="1"/>
  <c r="G36" i="9" l="1"/>
  <c r="B36" i="9"/>
  <c r="B36" i="2"/>
  <c r="E27" i="1"/>
  <c r="I31" i="3"/>
  <c r="G31" i="3"/>
  <c r="E31" i="3"/>
  <c r="J6" i="3"/>
  <c r="I19" i="3"/>
  <c r="H44" i="3"/>
  <c r="D44" i="3"/>
  <c r="J35" i="9" l="1"/>
  <c r="E35" i="9"/>
  <c r="K35" i="9" s="1"/>
  <c r="B35" i="9"/>
  <c r="H35" i="2"/>
  <c r="E35" i="2"/>
  <c r="I35" i="2" s="1"/>
  <c r="D35" i="2"/>
  <c r="B35" i="2"/>
  <c r="L25" i="1"/>
  <c r="G25" i="1"/>
  <c r="G35" i="9" l="1"/>
  <c r="G38" i="9" s="1"/>
  <c r="G35" i="2"/>
  <c r="L6" i="9"/>
  <c r="I35" i="9" l="1"/>
  <c r="I38" i="9" s="1"/>
  <c r="D46" i="3"/>
  <c r="B8" i="9"/>
  <c r="B7" i="9"/>
  <c r="D8" i="1"/>
  <c r="J34" i="9"/>
  <c r="E34" i="9"/>
  <c r="K34" i="9" s="1"/>
  <c r="D34" i="9"/>
  <c r="I34" i="2"/>
  <c r="H34" i="2"/>
  <c r="G34" i="2"/>
  <c r="E34" i="2"/>
  <c r="D34" i="2"/>
  <c r="L24" i="1"/>
  <c r="L27" i="1" s="1"/>
  <c r="G24" i="1"/>
  <c r="G27" i="1" s="1"/>
  <c r="H27" i="1" s="1"/>
  <c r="M27" i="1" s="1"/>
  <c r="B34" i="9"/>
  <c r="B34" i="2"/>
  <c r="J24" i="1"/>
  <c r="J27" i="1" s="1"/>
  <c r="K27" i="1" l="1"/>
  <c r="G34" i="9"/>
  <c r="L44" i="3"/>
  <c r="J33" i="9"/>
  <c r="J32" i="9"/>
  <c r="J31" i="9"/>
  <c r="J30" i="9"/>
  <c r="J29" i="9"/>
  <c r="J28" i="9"/>
  <c r="J27" i="9"/>
  <c r="J26" i="9"/>
  <c r="D33" i="9"/>
  <c r="J22" i="9"/>
  <c r="J21" i="9"/>
  <c r="J20" i="9"/>
  <c r="J19" i="9"/>
  <c r="J18" i="9"/>
  <c r="J17" i="9"/>
  <c r="J16" i="9"/>
  <c r="J15" i="9"/>
  <c r="J14" i="9"/>
  <c r="J13" i="9"/>
  <c r="J12" i="9"/>
  <c r="J11" i="9"/>
  <c r="D22" i="9"/>
  <c r="D20" i="9"/>
  <c r="D19" i="9"/>
  <c r="D15" i="9"/>
  <c r="I34" i="9" l="1"/>
  <c r="H33" i="2"/>
  <c r="H32" i="2"/>
  <c r="H31" i="2"/>
  <c r="H30" i="2"/>
  <c r="H29" i="2"/>
  <c r="H28" i="2"/>
  <c r="H27" i="2"/>
  <c r="H26" i="2"/>
  <c r="D33" i="2"/>
  <c r="D32" i="2"/>
  <c r="D31" i="2"/>
  <c r="D30" i="2"/>
  <c r="D29" i="2"/>
  <c r="D28" i="2"/>
  <c r="D27" i="2"/>
  <c r="D26" i="2"/>
  <c r="H22" i="2"/>
  <c r="H21" i="2"/>
  <c r="H20" i="2"/>
  <c r="H19" i="2"/>
  <c r="H18" i="2"/>
  <c r="H17" i="2"/>
  <c r="H16" i="2"/>
  <c r="H15" i="2"/>
  <c r="H14" i="2"/>
  <c r="H13" i="2"/>
  <c r="H12" i="2"/>
  <c r="H11" i="2"/>
  <c r="D22" i="2"/>
  <c r="D21" i="2"/>
  <c r="D20" i="2"/>
  <c r="D19" i="2"/>
  <c r="D18" i="2"/>
  <c r="D17" i="2"/>
  <c r="D16" i="2"/>
  <c r="D15" i="2"/>
  <c r="D14" i="2"/>
  <c r="D13" i="2"/>
  <c r="D12" i="2"/>
  <c r="D11" i="2"/>
  <c r="L22" i="1" l="1"/>
  <c r="L21" i="1"/>
  <c r="L20" i="1"/>
  <c r="L18" i="1"/>
  <c r="L17" i="1"/>
  <c r="L16" i="1"/>
  <c r="L14" i="1"/>
  <c r="L13" i="1"/>
  <c r="L12" i="1"/>
  <c r="G22" i="1"/>
  <c r="G21" i="1"/>
  <c r="G20" i="1"/>
  <c r="G18" i="1"/>
  <c r="G17" i="1"/>
  <c r="G16" i="1"/>
  <c r="G14" i="1"/>
  <c r="G13" i="1"/>
  <c r="G12" i="1"/>
  <c r="J22" i="1"/>
  <c r="J21" i="1"/>
  <c r="J20" i="1"/>
  <c r="J18" i="1"/>
  <c r="J17" i="1"/>
  <c r="J16" i="1"/>
  <c r="J14" i="1"/>
  <c r="J13" i="1"/>
  <c r="J12" i="1"/>
  <c r="D23" i="9" l="1"/>
  <c r="D6" i="9" s="1"/>
  <c r="H23" i="9"/>
  <c r="H6" i="9" s="1"/>
  <c r="J23" i="9"/>
  <c r="J6" i="9" s="1"/>
  <c r="I6" i="1"/>
  <c r="I32" i="9" l="1"/>
  <c r="B33" i="9"/>
  <c r="B33" i="2"/>
  <c r="E33" i="2" s="1"/>
  <c r="E23" i="1"/>
  <c r="G23" i="1"/>
  <c r="H23" i="1" l="1"/>
  <c r="M23" i="1" s="1"/>
  <c r="E33" i="9"/>
  <c r="K33" i="9" s="1"/>
  <c r="G33" i="9" s="1"/>
  <c r="I33" i="2"/>
  <c r="G33" i="2" s="1"/>
  <c r="B41" i="9"/>
  <c r="I33" i="9" l="1"/>
  <c r="I21" i="3"/>
  <c r="I20" i="3"/>
  <c r="B8" i="2" l="1"/>
  <c r="L23" i="1" l="1"/>
  <c r="B32" i="9" l="1"/>
  <c r="E32" i="9" s="1"/>
  <c r="J23" i="1"/>
  <c r="K23" i="1" s="1"/>
  <c r="B32" i="2"/>
  <c r="E32" i="2" s="1"/>
  <c r="K32" i="9" l="1"/>
  <c r="I32" i="2"/>
  <c r="G32" i="2" l="1"/>
  <c r="A16" i="10" l="1"/>
  <c r="B31" i="9" l="1"/>
  <c r="E31" i="9" s="1"/>
  <c r="K31" i="9" s="1"/>
  <c r="B31" i="2"/>
  <c r="E31" i="2"/>
  <c r="E8" i="2"/>
  <c r="E8" i="9"/>
  <c r="K8" i="9" s="1"/>
  <c r="G8" i="9" s="1"/>
  <c r="I8" i="9" s="1"/>
  <c r="I8" i="2" l="1"/>
  <c r="G8" i="2" s="1"/>
  <c r="I31" i="2"/>
  <c r="G31" i="2" s="1"/>
  <c r="B8" i="3"/>
  <c r="E8" i="3" s="1"/>
  <c r="E21" i="3"/>
  <c r="B33" i="3"/>
  <c r="E46" i="3"/>
  <c r="H46" i="3" s="1"/>
  <c r="N46" i="3" s="1"/>
  <c r="L46" i="3" s="1"/>
  <c r="D45" i="3"/>
  <c r="E33" i="3" l="1"/>
  <c r="I33" i="3" s="1"/>
  <c r="G33" i="3" s="1"/>
  <c r="B30" i="2"/>
  <c r="E19" i="1"/>
  <c r="E30" i="2" l="1"/>
  <c r="I30" i="2" l="1"/>
  <c r="G30" i="2" s="1"/>
  <c r="E20" i="3"/>
  <c r="B30" i="9"/>
  <c r="E30" i="9" s="1"/>
  <c r="K30" i="9" s="1"/>
  <c r="B38" i="5" l="1"/>
  <c r="L19" i="1" l="1"/>
  <c r="G19" i="1"/>
  <c r="H19" i="1" s="1"/>
  <c r="M19" i="1" s="1"/>
  <c r="B29" i="2" l="1"/>
  <c r="E29" i="2" s="1"/>
  <c r="B29" i="9"/>
  <c r="E29" i="9" s="1"/>
  <c r="K29" i="9" s="1"/>
  <c r="J19" i="1"/>
  <c r="F28" i="1"/>
  <c r="F7" i="1" s="1"/>
  <c r="I29" i="2" l="1"/>
  <c r="K19" i="1"/>
  <c r="G29" i="2" l="1"/>
  <c r="B28" i="9" l="1"/>
  <c r="E28" i="9" s="1"/>
  <c r="K28" i="9" s="1"/>
  <c r="B28" i="2" l="1"/>
  <c r="E28" i="2" s="1"/>
  <c r="I28" i="2" l="1"/>
  <c r="G28" i="2" s="1"/>
  <c r="L15" i="1"/>
  <c r="L28" i="1" s="1"/>
  <c r="L7" i="1" s="1"/>
  <c r="B27" i="9" l="1"/>
  <c r="E27" i="9" s="1"/>
  <c r="K27" i="9" s="1"/>
  <c r="B27" i="2"/>
  <c r="E27" i="2" s="1"/>
  <c r="I27" i="2" l="1"/>
  <c r="G27" i="2" s="1"/>
  <c r="J15" i="1"/>
  <c r="J28" i="1" s="1"/>
  <c r="J7" i="1" s="1"/>
  <c r="B26" i="2"/>
  <c r="E38" i="2" s="1"/>
  <c r="E7" i="2" s="1"/>
  <c r="B22" i="2"/>
  <c r="E22" i="2" s="1"/>
  <c r="I22" i="2" s="1"/>
  <c r="G22" i="2" s="1"/>
  <c r="B21" i="2"/>
  <c r="E21" i="2" s="1"/>
  <c r="I21" i="2" s="1"/>
  <c r="G21" i="2" s="1"/>
  <c r="B20" i="2"/>
  <c r="E20" i="2" s="1"/>
  <c r="I20" i="2" s="1"/>
  <c r="G20" i="2" s="1"/>
  <c r="B19" i="2"/>
  <c r="E19" i="2" s="1"/>
  <c r="I19" i="2" s="1"/>
  <c r="G19" i="2" s="1"/>
  <c r="B18" i="2"/>
  <c r="E18" i="2" s="1"/>
  <c r="I18" i="2" s="1"/>
  <c r="G18" i="2" s="1"/>
  <c r="B17" i="2"/>
  <c r="E17" i="2" s="1"/>
  <c r="I17" i="2" s="1"/>
  <c r="G17" i="2" s="1"/>
  <c r="B16" i="2"/>
  <c r="E16" i="2" s="1"/>
  <c r="I16" i="2" s="1"/>
  <c r="G16" i="2" s="1"/>
  <c r="B15" i="2"/>
  <c r="E15" i="2" s="1"/>
  <c r="I15" i="2" s="1"/>
  <c r="G15" i="2" s="1"/>
  <c r="B14" i="2"/>
  <c r="E14" i="2" s="1"/>
  <c r="I14" i="2" s="1"/>
  <c r="G14" i="2" s="1"/>
  <c r="B13" i="2"/>
  <c r="E13" i="2" s="1"/>
  <c r="I13" i="2" s="1"/>
  <c r="G13" i="2" s="1"/>
  <c r="B12" i="2"/>
  <c r="E12" i="2" s="1"/>
  <c r="I12" i="2" s="1"/>
  <c r="G12" i="2" s="1"/>
  <c r="B11" i="2"/>
  <c r="C23" i="9"/>
  <c r="C6" i="9" s="1"/>
  <c r="B22" i="9"/>
  <c r="E22" i="9" s="1"/>
  <c r="B21" i="9"/>
  <c r="B20" i="9"/>
  <c r="B19" i="9"/>
  <c r="E19" i="9" s="1"/>
  <c r="B18" i="9"/>
  <c r="B17" i="9"/>
  <c r="E17" i="9" s="1"/>
  <c r="K17" i="9" s="1"/>
  <c r="G17" i="9" s="1"/>
  <c r="I17" i="9" s="1"/>
  <c r="B16" i="9"/>
  <c r="E16" i="9" s="1"/>
  <c r="K16" i="9" s="1"/>
  <c r="G16" i="9" s="1"/>
  <c r="I16" i="9" s="1"/>
  <c r="B15" i="9"/>
  <c r="E15" i="9" s="1"/>
  <c r="B14" i="9"/>
  <c r="E14" i="9" s="1"/>
  <c r="K14" i="9" s="1"/>
  <c r="G14" i="9" s="1"/>
  <c r="I14" i="9" s="1"/>
  <c r="B13" i="9"/>
  <c r="B12" i="9"/>
  <c r="B11" i="9"/>
  <c r="B6" i="9" s="1"/>
  <c r="E23" i="9" l="1"/>
  <c r="E6" i="9" s="1"/>
  <c r="E11" i="2"/>
  <c r="I11" i="2" s="1"/>
  <c r="G11" i="2" s="1"/>
  <c r="B6" i="2"/>
  <c r="K19" i="9"/>
  <c r="G19" i="9" s="1"/>
  <c r="I19" i="9" s="1"/>
  <c r="D23" i="2"/>
  <c r="D6" i="2" s="1"/>
  <c r="H23" i="2"/>
  <c r="H6" i="2" s="1"/>
  <c r="E12" i="9"/>
  <c r="K12" i="9" s="1"/>
  <c r="G12" i="9" s="1"/>
  <c r="I12" i="9" s="1"/>
  <c r="E20" i="9"/>
  <c r="K20" i="9" s="1"/>
  <c r="G20" i="9" s="1"/>
  <c r="I20" i="9" s="1"/>
  <c r="E18" i="9"/>
  <c r="K18" i="9" s="1"/>
  <c r="G18" i="9" s="1"/>
  <c r="I18" i="9" s="1"/>
  <c r="K15" i="9"/>
  <c r="G15" i="9" s="1"/>
  <c r="I15" i="9" s="1"/>
  <c r="E13" i="9"/>
  <c r="K13" i="9" s="1"/>
  <c r="G13" i="9" s="1"/>
  <c r="I13" i="9" s="1"/>
  <c r="E21" i="9"/>
  <c r="K21" i="9" s="1"/>
  <c r="G21" i="9" s="1"/>
  <c r="I21" i="9" s="1"/>
  <c r="E11" i="9"/>
  <c r="K11" i="9" s="1"/>
  <c r="G15" i="1"/>
  <c r="G28" i="1" s="1"/>
  <c r="G7" i="1" s="1"/>
  <c r="G11" i="9" l="1"/>
  <c r="B26" i="9" l="1"/>
  <c r="E38" i="9" s="1"/>
  <c r="E7" i="9" s="1"/>
  <c r="K7" i="9" s="1"/>
  <c r="G7" i="9" s="1"/>
  <c r="I7" i="9" s="1"/>
  <c r="K22" i="9"/>
  <c r="I11" i="9"/>
  <c r="G22" i="9" l="1"/>
  <c r="G23" i="9" s="1"/>
  <c r="K23" i="9"/>
  <c r="K6" i="9" s="1"/>
  <c r="I22" i="9" l="1"/>
  <c r="I23" i="9" s="1"/>
  <c r="I6" i="9" s="1"/>
  <c r="G6" i="9"/>
  <c r="E45" i="3" l="1"/>
  <c r="H45" i="3" s="1"/>
  <c r="B32" i="3"/>
  <c r="E32" i="3" s="1"/>
  <c r="B7" i="3"/>
  <c r="E7" i="3" s="1"/>
  <c r="J7" i="3" s="1"/>
  <c r="N45" i="3" l="1"/>
  <c r="L45" i="3" s="1"/>
  <c r="I32" i="3"/>
  <c r="G32" i="3" s="1"/>
  <c r="D7" i="1" l="1"/>
  <c r="B50" i="3" l="1"/>
  <c r="E26" i="9" l="1"/>
  <c r="E26" i="2"/>
  <c r="B35" i="1"/>
  <c r="K26" i="9" l="1"/>
  <c r="K38" i="9" s="1"/>
  <c r="I26" i="2"/>
  <c r="G26" i="2"/>
  <c r="B39" i="6" l="1"/>
  <c r="B37" i="4"/>
  <c r="B41" i="2"/>
  <c r="C23" i="2" l="1"/>
  <c r="E23" i="2" l="1"/>
  <c r="E6" i="2" s="1"/>
  <c r="C6" i="2"/>
  <c r="I23" i="2"/>
  <c r="I6" i="2" s="1"/>
  <c r="G23" i="2"/>
  <c r="G6" i="2" s="1"/>
  <c r="B7" i="2" l="1"/>
  <c r="J8" i="3" l="1"/>
  <c r="I7" i="3"/>
  <c r="E7" i="1" l="1"/>
  <c r="H7" i="1" s="1"/>
  <c r="M7" i="1" s="1"/>
  <c r="K7" i="1" s="1"/>
  <c r="E15" i="1"/>
  <c r="H15" i="1" s="1"/>
  <c r="M15" i="1" s="1"/>
  <c r="H28" i="1" l="1"/>
  <c r="M28" i="1"/>
  <c r="K15" i="1"/>
  <c r="K28" i="1" s="1"/>
  <c r="E8" i="1" s="1"/>
  <c r="H8" i="1" s="1"/>
  <c r="M8" i="1" s="1"/>
  <c r="K8" i="1" s="1"/>
</calcChain>
</file>

<file path=xl/sharedStrings.xml><?xml version="1.0" encoding="utf-8"?>
<sst xmlns="http://schemas.openxmlformats.org/spreadsheetml/2006/main" count="514" uniqueCount="199">
  <si>
    <t xml:space="preserve">          Supply</t>
  </si>
  <si>
    <t>Production</t>
  </si>
  <si>
    <t>Imports</t>
  </si>
  <si>
    <t>Total</t>
  </si>
  <si>
    <t>Exports</t>
  </si>
  <si>
    <t>residual</t>
  </si>
  <si>
    <t>Ending</t>
  </si>
  <si>
    <t>stocks</t>
  </si>
  <si>
    <t>Beginning</t>
  </si>
  <si>
    <t>Domestic</t>
  </si>
  <si>
    <t>NA</t>
  </si>
  <si>
    <t>Marketing</t>
  </si>
  <si>
    <t>year</t>
  </si>
  <si>
    <t>Cottonseed</t>
  </si>
  <si>
    <t xml:space="preserve">     1,000 short tons</t>
  </si>
  <si>
    <t xml:space="preserve">  1,000 short tons</t>
  </si>
  <si>
    <t xml:space="preserve">      Million pounds</t>
  </si>
  <si>
    <t>Disappearance</t>
  </si>
  <si>
    <t>Last update:</t>
  </si>
  <si>
    <t>Area</t>
  </si>
  <si>
    <t>Planted</t>
  </si>
  <si>
    <t>Harvested</t>
  </si>
  <si>
    <t>Yield</t>
  </si>
  <si>
    <t xml:space="preserve">Exports  </t>
  </si>
  <si>
    <t xml:space="preserve">Total  </t>
  </si>
  <si>
    <t xml:space="preserve">stocks </t>
  </si>
  <si>
    <t xml:space="preserve">Ending </t>
  </si>
  <si>
    <t xml:space="preserve">Domestic </t>
  </si>
  <si>
    <t xml:space="preserve">Beginning </t>
  </si>
  <si>
    <t xml:space="preserve">Imports </t>
  </si>
  <si>
    <t xml:space="preserve">Total </t>
  </si>
  <si>
    <t xml:space="preserve">Exports </t>
  </si>
  <si>
    <t xml:space="preserve">Crush </t>
  </si>
  <si>
    <t xml:space="preserve">Other </t>
  </si>
  <si>
    <t xml:space="preserve">food </t>
  </si>
  <si>
    <t xml:space="preserve">Soybean </t>
  </si>
  <si>
    <t xml:space="preserve">Peanut </t>
  </si>
  <si>
    <t xml:space="preserve">Canola  </t>
  </si>
  <si>
    <t xml:space="preserve">Linseed </t>
  </si>
  <si>
    <t xml:space="preserve">Edible  </t>
  </si>
  <si>
    <t xml:space="preserve">Corn  </t>
  </si>
  <si>
    <t>Canola</t>
  </si>
  <si>
    <t xml:space="preserve">stocks  </t>
  </si>
  <si>
    <t>2010/11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</si>
  <si>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</si>
  <si>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</si>
  <si>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</si>
  <si>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</si>
  <si>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</si>
  <si>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</si>
  <si>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</si>
  <si>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</si>
  <si>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</si>
  <si>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2011/12</t>
  </si>
  <si>
    <t>July</t>
  </si>
  <si>
    <t>August</t>
  </si>
  <si>
    <t>Use</t>
  </si>
  <si>
    <t>September</t>
  </si>
  <si>
    <t>Crush</t>
  </si>
  <si>
    <t>Pounds/acre</t>
  </si>
  <si>
    <t>Year beginning</t>
  </si>
  <si>
    <t>October 1</t>
  </si>
  <si>
    <t>August 1</t>
  </si>
  <si>
    <t>September 1</t>
  </si>
  <si>
    <t>Sunflowerseed</t>
  </si>
  <si>
    <t>2012/13</t>
  </si>
  <si>
    <t>Supply</t>
  </si>
  <si>
    <t>Million acres</t>
  </si>
  <si>
    <t>1,000 acres</t>
  </si>
  <si>
    <t xml:space="preserve">  Total  </t>
  </si>
  <si>
    <t xml:space="preserve"> stocks </t>
  </si>
  <si>
    <t>2013/14</t>
  </si>
  <si>
    <t>Seed &amp;</t>
  </si>
  <si>
    <t>2014/15</t>
  </si>
  <si>
    <t>2015/16</t>
  </si>
  <si>
    <t xml:space="preserve">     -------------------------------------------- 1,000 short tons--------------------------------------------</t>
  </si>
  <si>
    <t>Million pounds</t>
  </si>
  <si>
    <t>2016/17</t>
  </si>
  <si>
    <t>2017/18</t>
  </si>
  <si>
    <t>Oil Crops Outlook Tables</t>
  </si>
  <si>
    <t>Last update</t>
  </si>
  <si>
    <r>
      <t xml:space="preserve">Source: USDA, World Agricultural Outlook Board, </t>
    </r>
    <r>
      <rPr>
        <i/>
        <sz val="11"/>
        <rFont val="Arial"/>
        <family val="2"/>
      </rPr>
      <t>World Agricultural Supply and Demand Estimates.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</si>
  <si>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</t>
    </r>
  </si>
  <si>
    <r>
      <t>Soybeans</t>
    </r>
    <r>
      <rPr>
        <vertAlign val="superscript"/>
        <sz val="11"/>
        <rFont val="Arial"/>
        <family val="2"/>
      </rPr>
      <t>1</t>
    </r>
  </si>
  <si>
    <r>
      <t>Cottonseed</t>
    </r>
    <r>
      <rPr>
        <vertAlign val="superscript"/>
        <sz val="11"/>
        <rFont val="Arial"/>
        <family val="2"/>
      </rPr>
      <t>2</t>
    </r>
  </si>
  <si>
    <r>
      <t>Sunflowerseed</t>
    </r>
    <r>
      <rPr>
        <vertAlign val="superscript"/>
        <sz val="11"/>
        <rFont val="Arial"/>
        <family val="2"/>
      </rPr>
      <t>1</t>
    </r>
  </si>
  <si>
    <r>
      <t>Canola</t>
    </r>
    <r>
      <rPr>
        <vertAlign val="superscript"/>
        <sz val="11"/>
        <rFont val="Arial"/>
        <family val="2"/>
      </rPr>
      <t>1</t>
    </r>
  </si>
  <si>
    <r>
      <t>Peanuts</t>
    </r>
    <r>
      <rPr>
        <vertAlign val="superscript"/>
        <sz val="11"/>
        <rFont val="Arial"/>
        <family val="2"/>
      </rPr>
      <t>2</t>
    </r>
  </si>
  <si>
    <r>
      <t>Flaxseed</t>
    </r>
    <r>
      <rPr>
        <vertAlign val="superscript"/>
        <sz val="11"/>
        <rFont val="Arial"/>
        <family val="2"/>
      </rPr>
      <t>3</t>
    </r>
  </si>
  <si>
    <r>
      <t xml:space="preserve">Source: USDA, National Agricultural Statistics Service, </t>
    </r>
    <r>
      <rPr>
        <i/>
        <sz val="11"/>
        <rFont val="Arial"/>
        <family val="2"/>
      </rPr>
      <t>Agricultural Prices.</t>
    </r>
    <r>
      <rPr>
        <sz val="11"/>
        <rFont val="Arial"/>
        <family val="2"/>
      </rPr>
      <t xml:space="preserve">  </t>
    </r>
  </si>
  <si>
    <r>
      <t xml:space="preserve">oil </t>
    </r>
    <r>
      <rPr>
        <vertAlign val="superscript"/>
        <sz val="11"/>
        <rFont val="Arial"/>
        <family val="2"/>
      </rPr>
      <t xml:space="preserve">2   </t>
    </r>
  </si>
  <si>
    <r>
      <t xml:space="preserve">oil </t>
    </r>
    <r>
      <rPr>
        <vertAlign val="superscript"/>
        <sz val="11"/>
        <rFont val="Arial"/>
        <family val="2"/>
      </rPr>
      <t xml:space="preserve">3   </t>
    </r>
  </si>
  <si>
    <r>
      <t xml:space="preserve">oil </t>
    </r>
    <r>
      <rPr>
        <vertAlign val="superscript"/>
        <sz val="11"/>
        <rFont val="Arial"/>
        <family val="2"/>
      </rPr>
      <t xml:space="preserve">4   </t>
    </r>
  </si>
  <si>
    <r>
      <t xml:space="preserve">meal </t>
    </r>
    <r>
      <rPr>
        <vertAlign val="superscript"/>
        <sz val="11"/>
        <rFont val="Arial"/>
        <family val="2"/>
      </rPr>
      <t xml:space="preserve">2  </t>
    </r>
  </si>
  <si>
    <r>
      <t xml:space="preserve">meal </t>
    </r>
    <r>
      <rPr>
        <vertAlign val="superscript"/>
        <sz val="11"/>
        <rFont val="Arial"/>
        <family val="2"/>
      </rPr>
      <t xml:space="preserve">3  </t>
    </r>
  </si>
  <si>
    <r>
      <t xml:space="preserve">meal </t>
    </r>
    <r>
      <rPr>
        <vertAlign val="superscript"/>
        <sz val="11"/>
        <rFont val="Arial"/>
        <family val="2"/>
      </rPr>
      <t xml:space="preserve">4  </t>
    </r>
  </si>
  <si>
    <r>
      <t xml:space="preserve">meal </t>
    </r>
    <r>
      <rPr>
        <vertAlign val="superscript"/>
        <sz val="11"/>
        <rFont val="Arial"/>
        <family val="2"/>
      </rPr>
      <t xml:space="preserve">5  </t>
    </r>
  </si>
  <si>
    <r>
      <t xml:space="preserve">meal </t>
    </r>
    <r>
      <rPr>
        <vertAlign val="superscript"/>
        <sz val="11"/>
        <rFont val="Arial"/>
        <family val="2"/>
      </rPr>
      <t xml:space="preserve">6  </t>
    </r>
  </si>
  <si>
    <t>2018/19</t>
  </si>
  <si>
    <t>---------------------------------------------Million bushels----------------------------------------------------------</t>
  </si>
  <si>
    <t>2019/20</t>
  </si>
  <si>
    <r>
      <t>2020/21</t>
    </r>
    <r>
      <rPr>
        <vertAlign val="superscript"/>
        <sz val="11"/>
        <rFont val="Arial"/>
        <family val="2"/>
      </rPr>
      <t>1</t>
    </r>
  </si>
  <si>
    <r>
      <t xml:space="preserve">Bureau of the Census, </t>
    </r>
    <r>
      <rPr>
        <i/>
        <sz val="11"/>
        <rFont val="Arial"/>
        <family val="2"/>
      </rPr>
      <t>Foreign Trade Statistics.</t>
    </r>
  </si>
  <si>
    <t>2020/21</t>
  </si>
  <si>
    <t>Total to date</t>
  </si>
  <si>
    <t>Bushels per acre</t>
  </si>
  <si>
    <t>Soybeans: Quarterly U.S. supply and disappearance</t>
  </si>
  <si>
    <t xml:space="preserve">Dollars per bushel </t>
  </si>
  <si>
    <t xml:space="preserve">Dollars per short ton  </t>
  </si>
  <si>
    <t>Cents per pound</t>
  </si>
  <si>
    <t>Dollars per hundredweight</t>
  </si>
  <si>
    <t>------------------------------------------------------- Cents per pound----------------------------------------------</t>
  </si>
  <si>
    <t>--------------------------------------------------- Dollars per short ton------------------------------------------</t>
  </si>
  <si>
    <t>Table 2—Soybean meal: U.S. supply and disappearance</t>
  </si>
  <si>
    <t>Table 3—Soybean oil: U.S. supply and disappearance</t>
  </si>
  <si>
    <t>Table 4—Cottonseed: U.S. supply and disappearance</t>
  </si>
  <si>
    <t>Table 5—Cottonseed meal: U.S. supply and disappearance</t>
  </si>
  <si>
    <t>Table 6—Cottonseed oil: U.S. supply and disappearance</t>
  </si>
  <si>
    <t>Table 7—Peanuts: U.S. supply and disappearance</t>
  </si>
  <si>
    <t>Table 8—Oilseed prices received by U.S. farmers</t>
  </si>
  <si>
    <t>Table 9—U.S. vegetable oil and fats prices</t>
  </si>
  <si>
    <t xml:space="preserve">Table 10—U.S. oilseed meal prices </t>
  </si>
  <si>
    <t>Table 1—Soybeans: U.S. supply and disappearance</t>
  </si>
  <si>
    <r>
      <t xml:space="preserve">Sources: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>, and</t>
    </r>
    <r>
      <rPr>
        <i/>
        <sz val="11"/>
        <rFont val="Arial"/>
        <family val="2"/>
      </rPr>
      <t xml:space="preserve"> Grain Stocks</t>
    </r>
    <r>
      <rPr>
        <sz val="11"/>
        <rFont val="Arial"/>
        <family val="2"/>
      </rPr>
      <t xml:space="preserve">; and U.S. Department of Commerce, Bureau of the Census, </t>
    </r>
    <r>
      <rPr>
        <i/>
        <sz val="11"/>
        <rFont val="Arial"/>
        <family val="2"/>
      </rPr>
      <t>Foreign Trade Statistics</t>
    </r>
    <r>
      <rPr>
        <sz val="11"/>
        <rFont val="Arial"/>
        <family val="2"/>
      </rPr>
      <t>.</t>
    </r>
  </si>
  <si>
    <r>
      <t>Sources: USDA</t>
    </r>
    <r>
      <rPr>
        <i/>
        <sz val="11"/>
        <rFont val="Arial"/>
        <family val="2"/>
      </rPr>
      <t>,</t>
    </r>
    <r>
      <rPr>
        <sz val="11"/>
        <rFont val="Arial"/>
        <family val="2"/>
      </rPr>
      <t xml:space="preserve"> National Agricultural Statistics Service,</t>
    </r>
    <r>
      <rPr>
        <i/>
        <sz val="11"/>
        <rFont val="Arial"/>
        <family val="2"/>
      </rPr>
      <t xml:space="preserve"> Crop Production; </t>
    </r>
    <r>
      <rPr>
        <sz val="11"/>
        <rFont val="Arial"/>
        <family val="2"/>
      </rPr>
      <t>and U.S. Department of Commerce,</t>
    </r>
  </si>
  <si>
    <r>
      <t xml:space="preserve">Sources: USDA, National Agricultural Statistics Service, </t>
    </r>
    <r>
      <rPr>
        <i/>
        <sz val="11"/>
        <rFont val="Arial"/>
        <family val="2"/>
      </rPr>
      <t>Crop Production,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 xml:space="preserve">Peanut Stocks and Processing; </t>
    </r>
    <r>
      <rPr>
        <sz val="11"/>
        <rFont val="Arial"/>
        <family val="2"/>
      </rPr>
      <t>and U.S. Department of Commerce,</t>
    </r>
  </si>
  <si>
    <r>
      <t>2021/22</t>
    </r>
    <r>
      <rPr>
        <vertAlign val="superscript"/>
        <sz val="11"/>
        <rFont val="Arial"/>
        <family val="2"/>
      </rPr>
      <t>2</t>
    </r>
  </si>
  <si>
    <t>Million Pounds</t>
  </si>
  <si>
    <r>
      <t>2020/21</t>
    </r>
    <r>
      <rPr>
        <vertAlign val="superscript"/>
        <sz val="11"/>
        <rFont val="Arial"/>
        <family val="2"/>
      </rPr>
      <t>4</t>
    </r>
  </si>
  <si>
    <r>
      <t>2021/22</t>
    </r>
    <r>
      <rPr>
        <vertAlign val="superscript"/>
        <sz val="11"/>
        <rFont val="Arial"/>
        <family val="2"/>
      </rPr>
      <t>4</t>
    </r>
  </si>
  <si>
    <r>
      <t>Biofuel</t>
    </r>
    <r>
      <rPr>
        <vertAlign val="superscript"/>
        <sz val="11"/>
        <rFont val="Arial"/>
        <family val="2"/>
      </rPr>
      <t>3</t>
    </r>
  </si>
  <si>
    <r>
      <t xml:space="preserve">Source: USDA, Foreign Agricultural Service, </t>
    </r>
    <r>
      <rPr>
        <i/>
        <sz val="11"/>
        <rFont val="Arial"/>
        <family val="2"/>
      </rPr>
      <t>Production, Supply, and Distribution.</t>
    </r>
  </si>
  <si>
    <r>
      <t xml:space="preserve">Sources: USDA, Agricultural Marketing Service, </t>
    </r>
    <r>
      <rPr>
        <i/>
        <sz val="11"/>
        <rFont val="Arial"/>
        <family val="2"/>
      </rPr>
      <t>Monthly Feedstuff Prices.</t>
    </r>
  </si>
  <si>
    <t xml:space="preserve">Contact: Aaron Ates </t>
  </si>
  <si>
    <t>Food &amp; other</t>
  </si>
  <si>
    <t>2021/22</t>
  </si>
  <si>
    <t>Marketing year</t>
  </si>
  <si>
    <t>Residual</t>
  </si>
  <si>
    <t xml:space="preserve">  September–November</t>
  </si>
  <si>
    <t xml:space="preserve">  December–February</t>
  </si>
  <si>
    <t xml:space="preserve">  March–May</t>
  </si>
  <si>
    <t xml:space="preserve">  June–August</t>
  </si>
  <si>
    <r>
      <t xml:space="preserve">Sources: USDA, Agricultural Marketing Service, </t>
    </r>
    <r>
      <rPr>
        <i/>
        <sz val="11"/>
        <rFont val="Arial"/>
        <family val="2"/>
      </rPr>
      <t>Monthly Feedstuff Prices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>Tallow and Protein Report</t>
    </r>
    <r>
      <rPr>
        <sz val="11"/>
        <rFont val="Arial"/>
        <family val="2"/>
      </rPr>
      <t xml:space="preserve">; and Sosland Publishing, </t>
    </r>
    <r>
      <rPr>
        <i/>
        <sz val="11"/>
        <rFont val="Arial"/>
        <family val="2"/>
      </rPr>
      <t>Milling and Baking News</t>
    </r>
    <r>
      <rPr>
        <sz val="11"/>
        <rFont val="Arial"/>
        <family val="2"/>
      </rPr>
      <t>.</t>
    </r>
  </si>
  <si>
    <t>Percent of sown acreage harvested</t>
  </si>
  <si>
    <t>Biofuel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</si>
  <si>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</si>
  <si>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</si>
  <si>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</si>
  <si>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</si>
  <si>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</si>
  <si>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</si>
  <si>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</si>
  <si>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</si>
  <si>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20/21</t>
  </si>
  <si>
    <t>21/22*</t>
  </si>
  <si>
    <t>Crude palm oil</t>
  </si>
  <si>
    <t>Month of 2020/21 marketing year</t>
  </si>
  <si>
    <t>Oct</t>
  </si>
  <si>
    <t>Nov</t>
  </si>
  <si>
    <t>Dec</t>
  </si>
  <si>
    <t>Jan</t>
  </si>
  <si>
    <t>Feb</t>
  </si>
  <si>
    <t>Aug</t>
  </si>
  <si>
    <t>Sept</t>
  </si>
  <si>
    <t>Mar</t>
  </si>
  <si>
    <t>Apr</t>
  </si>
  <si>
    <t>Vegetable oil</t>
  </si>
  <si>
    <t>Crude Palm Oil</t>
  </si>
  <si>
    <t>Crude Soybean Oil</t>
  </si>
  <si>
    <t>Refined Soybean Oil</t>
  </si>
  <si>
    <t>Crude Sunflower Oil</t>
  </si>
  <si>
    <t>Refined Sunflower Oil</t>
  </si>
  <si>
    <t>2/2/2021</t>
  </si>
  <si>
    <t>6/30/2021</t>
  </si>
  <si>
    <t>8/20/2021</t>
  </si>
  <si>
    <t>9/11/2021</t>
  </si>
  <si>
    <t>10/14/2021</t>
  </si>
  <si>
    <t>Stocks</t>
  </si>
  <si>
    <t>Week ending</t>
  </si>
  <si>
    <t>Date of import duty change</t>
  </si>
  <si>
    <r>
      <t>NA = Not available.</t>
    </r>
    <r>
      <rPr>
        <vertAlign val="superscript"/>
        <sz val="11"/>
        <rFont val="Arial"/>
        <family val="2"/>
      </rPr>
      <t xml:space="preserve"> 1</t>
    </r>
    <r>
      <rPr>
        <sz val="11"/>
        <rFont val="Arial"/>
        <family val="2"/>
      </rPr>
      <t xml:space="preserve"> September-August.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August-July.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July-June.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Preliminary.</t>
    </r>
  </si>
  <si>
    <r>
      <t>2020/21</t>
    </r>
    <r>
      <rPr>
        <vertAlign val="superscript"/>
        <sz val="11"/>
        <rFont val="Arial"/>
        <family val="2"/>
      </rPr>
      <t>6</t>
    </r>
  </si>
  <si>
    <r>
      <t>2021/22</t>
    </r>
    <r>
      <rPr>
        <vertAlign val="superscript"/>
        <sz val="11"/>
        <rFont val="Arial"/>
        <family val="2"/>
      </rPr>
      <t>6</t>
    </r>
  </si>
  <si>
    <r>
      <t xml:space="preserve">oil </t>
    </r>
    <r>
      <rPr>
        <vertAlign val="superscript"/>
        <sz val="11"/>
        <rFont val="Arial"/>
        <family val="2"/>
      </rPr>
      <t xml:space="preserve">1   </t>
    </r>
  </si>
  <si>
    <r>
      <t xml:space="preserve">Lard </t>
    </r>
    <r>
      <rPr>
        <vertAlign val="superscript"/>
        <sz val="11"/>
        <rFont val="Arial"/>
        <family val="2"/>
      </rPr>
      <t xml:space="preserve">5  </t>
    </r>
  </si>
  <si>
    <r>
      <t xml:space="preserve">tallow </t>
    </r>
    <r>
      <rPr>
        <vertAlign val="superscript"/>
        <sz val="11"/>
        <rFont val="Arial"/>
        <family val="2"/>
      </rPr>
      <t xml:space="preserve">5 </t>
    </r>
  </si>
  <si>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Southeast mills. </t>
    </r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Chicago, IL. 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Preliminary. </t>
    </r>
  </si>
  <si>
    <r>
      <rPr>
        <sz val="11"/>
        <rFont val="Arial"/>
        <family val="2"/>
      </rPr>
      <t xml:space="preserve">NA = Not available.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Decatur, IL.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Prime bleached summer yellow, Greenwood, MS. 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Midwest. </t>
    </r>
  </si>
  <si>
    <r>
      <t xml:space="preserve">meal </t>
    </r>
    <r>
      <rPr>
        <vertAlign val="superscript"/>
        <sz val="11"/>
        <rFont val="Arial"/>
        <family val="2"/>
      </rPr>
      <t xml:space="preserve">1  </t>
    </r>
  </si>
  <si>
    <r>
      <t>2020/21</t>
    </r>
    <r>
      <rPr>
        <vertAlign val="superscript"/>
        <sz val="11"/>
        <rFont val="Arial"/>
        <family val="2"/>
      </rPr>
      <t>7</t>
    </r>
  </si>
  <si>
    <r>
      <t>2021/22</t>
    </r>
    <r>
      <rPr>
        <vertAlign val="superscript"/>
        <sz val="11"/>
        <rFont val="Arial"/>
        <family val="2"/>
      </rPr>
      <t>7</t>
    </r>
  </si>
  <si>
    <r>
      <t>4</t>
    </r>
    <r>
      <rPr>
        <sz val="11"/>
        <rFont val="Arial"/>
        <family val="2"/>
      </rPr>
      <t xml:space="preserve"> 50-percent Southeast mills.  </t>
    </r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36-percent Pacific Northwest.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34-percent Minneapolis, MN. 7 Preliminary. </t>
    </r>
  </si>
  <si>
    <t>2016–2020 average</t>
  </si>
  <si>
    <t>Food and other</t>
  </si>
  <si>
    <r>
      <rPr>
        <sz val="11"/>
        <rFont val="Arial"/>
        <family val="2"/>
      </rPr>
      <t>NA: Not available.</t>
    </r>
    <r>
      <rPr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Note: 1 metric ton equals 36.744 bushels and 1 hectare equals 2.471 acres.</t>
    </r>
    <r>
      <rPr>
        <vertAlign val="superscript"/>
        <sz val="11"/>
        <rFont val="Arial"/>
        <family val="2"/>
      </rPr>
      <t xml:space="preserve"> 1</t>
    </r>
    <r>
      <rPr>
        <sz val="11"/>
        <rFont val="Arial"/>
        <family val="2"/>
      </rPr>
      <t xml:space="preserve"> Estimated.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</t>
    </r>
  </si>
  <si>
    <r>
      <rPr>
        <sz val="11"/>
        <rFont val="Arial"/>
        <family val="2"/>
      </rPr>
      <t>NA: Not available. Note: 1 metric ton equals 1.10231 short tons.</t>
    </r>
    <r>
      <rPr>
        <vertAlign val="superscript"/>
        <sz val="11"/>
        <rFont val="Arial"/>
        <family val="2"/>
      </rPr>
      <t xml:space="preserve"> 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</t>
    </r>
  </si>
  <si>
    <r>
      <rPr>
        <sz val="11"/>
        <rFont val="Arial"/>
        <family val="2"/>
      </rPr>
      <t>NA: Not available. Note: 1 metric ton equals 2,204.622 pounds.</t>
    </r>
    <r>
      <rPr>
        <vertAlign val="superscript"/>
        <sz val="11"/>
        <rFont val="Arial"/>
        <family val="2"/>
      </rPr>
      <t xml:space="preserve"> 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Prior year’s monthly biofuel data are estimated on yearly data.</t>
    </r>
  </si>
  <si>
    <r>
      <rPr>
        <sz val="11"/>
        <rFont val="Arial"/>
        <family val="2"/>
      </rPr>
      <t>NA = Not available.</t>
    </r>
    <r>
      <rPr>
        <vertAlign val="superscript"/>
        <sz val="11"/>
        <rFont val="Arial"/>
        <family val="2"/>
      </rPr>
      <t xml:space="preserve"> 1</t>
    </r>
    <r>
      <rPr>
        <sz val="11"/>
        <rFont val="Arial"/>
        <family val="2"/>
      </rPr>
      <t xml:space="preserve"> High-protein, Decatur, IL.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41-percent Memphis, TN.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34-percent North Dakota-Minnesota.</t>
    </r>
  </si>
  <si>
    <t>Refined, Bleached and Deodorized Palm Olein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</si>
</sst>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0.0"/>
    <numFmt numFmtId="168" formatCode="0.00_)"/>
    <numFmt numFmtId="169" formatCode="#,##0.0"/>
    <numFmt numFmtId="170" formatCode="0.0000"/>
    <numFmt numFmtId="171" formatCode="#,##0.000"/>
    <numFmt numFmtId="172" formatCode="_(* #,##0.00000_);_(* \(#,##0.00000\);_(* &quot;-&quot;??_);_(@_)"/>
    <numFmt numFmtId="173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Helvetica"/>
    </font>
    <font>
      <u/>
      <sz val="8"/>
      <color indexed="12"/>
      <name val="Helvetica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0"/>
      <name val="Courier New"/>
      <family val="3"/>
    </font>
    <font>
      <u/>
      <sz val="11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24" fillId="0" borderId="0"/>
    <xf numFmtId="0" fontId="9" fillId="0" borderId="0"/>
    <xf numFmtId="0" fontId="8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</cellStyleXfs>
  <cellXfs count="171">
    <xf numFmtId="0" fontId="0" fillId="0" borderId="0" xfId="0"/>
    <xf numFmtId="0" fontId="11" fillId="0" borderId="0" xfId="8" applyFont="1"/>
    <xf numFmtId="0" fontId="12" fillId="0" borderId="0" xfId="8" applyFont="1"/>
    <xf numFmtId="0" fontId="11" fillId="0" borderId="0" xfId="8" applyFont="1" applyFill="1"/>
    <xf numFmtId="0" fontId="17" fillId="0" borderId="0" xfId="8" applyFont="1" applyFill="1"/>
    <xf numFmtId="0" fontId="18" fillId="0" borderId="0" xfId="8" applyFont="1"/>
    <xf numFmtId="169" fontId="19" fillId="0" borderId="0" xfId="1" applyNumberFormat="1" applyFont="1" applyFill="1" applyAlignment="1">
      <alignment horizontal="right" indent="1"/>
    </xf>
    <xf numFmtId="169" fontId="19" fillId="0" borderId="0" xfId="1" applyNumberFormat="1" applyFont="1" applyFill="1" applyBorder="1" applyAlignment="1">
      <alignment horizontal="center"/>
    </xf>
    <xf numFmtId="169" fontId="19" fillId="0" borderId="0" xfId="1" applyNumberFormat="1" applyFont="1" applyFill="1" applyBorder="1" applyAlignment="1">
      <alignment horizontal="right" indent="1"/>
    </xf>
    <xf numFmtId="0" fontId="25" fillId="0" borderId="0" xfId="7" applyFont="1" applyAlignment="1">
      <alignment horizontal="left"/>
    </xf>
    <xf numFmtId="0" fontId="27" fillId="0" borderId="0" xfId="5" applyFont="1" applyAlignment="1" applyProtection="1"/>
    <xf numFmtId="14" fontId="25" fillId="0" borderId="0" xfId="7" applyNumberFormat="1" applyFont="1" applyAlignment="1">
      <alignment horizontal="left"/>
    </xf>
    <xf numFmtId="0" fontId="27" fillId="0" borderId="0" xfId="4" applyFont="1" applyAlignment="1" applyProtection="1"/>
    <xf numFmtId="0" fontId="19" fillId="0" borderId="0" xfId="7" quotePrefix="1" applyFont="1" applyAlignment="1">
      <alignment horizontal="left"/>
    </xf>
    <xf numFmtId="0" fontId="19" fillId="0" borderId="0" xfId="8" applyFont="1" applyBorder="1" applyAlignment="1">
      <alignment wrapText="1"/>
    </xf>
    <xf numFmtId="169" fontId="19" fillId="0" borderId="0" xfId="1" applyNumberFormat="1" applyFont="1" applyFill="1" applyBorder="1" applyAlignment="1">
      <alignment horizontal="right"/>
    </xf>
    <xf numFmtId="169" fontId="19" fillId="0" borderId="0" xfId="0" applyNumberFormat="1" applyFont="1" applyFill="1"/>
    <xf numFmtId="2" fontId="19" fillId="0" borderId="1" xfId="0" applyNumberFormat="1" applyFont="1" applyFill="1" applyBorder="1" applyAlignment="1">
      <alignment horizontal="right" indent="2"/>
    </xf>
    <xf numFmtId="0" fontId="19" fillId="0" borderId="1" xfId="0" applyFont="1" applyFill="1" applyBorder="1"/>
    <xf numFmtId="0" fontId="0" fillId="0" borderId="0" xfId="0" applyFill="1"/>
    <xf numFmtId="0" fontId="19" fillId="0" borderId="0" xfId="0" applyFont="1" applyFill="1"/>
    <xf numFmtId="0" fontId="19" fillId="0" borderId="2" xfId="0" applyFont="1" applyFill="1" applyBorder="1" applyAlignment="1">
      <alignment horizontal="right"/>
    </xf>
    <xf numFmtId="0" fontId="19" fillId="0" borderId="0" xfId="0" applyFont="1" applyFill="1" applyAlignment="1">
      <alignment horizontal="center"/>
    </xf>
    <xf numFmtId="0" fontId="0" fillId="0" borderId="2" xfId="0" applyFill="1" applyBorder="1"/>
    <xf numFmtId="0" fontId="19" fillId="0" borderId="0" xfId="0" applyFont="1" applyFill="1" applyBorder="1"/>
    <xf numFmtId="0" fontId="19" fillId="0" borderId="2" xfId="0" applyFont="1" applyFill="1" applyBorder="1" applyAlignment="1">
      <alignment horizontal="left"/>
    </xf>
    <xf numFmtId="0" fontId="19" fillId="0" borderId="0" xfId="0" applyFont="1" applyFill="1" applyAlignment="1">
      <alignment horizontal="right"/>
    </xf>
    <xf numFmtId="16" fontId="19" fillId="0" borderId="1" xfId="0" quotePrefix="1" applyNumberFormat="1" applyFont="1" applyFill="1" applyBorder="1"/>
    <xf numFmtId="16" fontId="19" fillId="0" borderId="1" xfId="0" applyNumberFormat="1" applyFont="1" applyFill="1" applyBorder="1"/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right"/>
    </xf>
    <xf numFmtId="0" fontId="19" fillId="0" borderId="1" xfId="0" applyFont="1" applyFill="1" applyBorder="1" applyAlignment="1">
      <alignment horizontal="right" indent="1"/>
    </xf>
    <xf numFmtId="0" fontId="0" fillId="0" borderId="0" xfId="0" applyFill="1" applyAlignment="1">
      <alignment horizontal="left" indent="1"/>
    </xf>
    <xf numFmtId="0" fontId="20" fillId="0" borderId="3" xfId="0" quotePrefix="1" applyFont="1" applyFill="1" applyBorder="1" applyAlignment="1">
      <alignment horizontal="center"/>
    </xf>
    <xf numFmtId="0" fontId="20" fillId="0" borderId="0" xfId="0" quotePrefix="1" applyFont="1" applyFill="1" applyAlignment="1">
      <alignment horizontal="right"/>
    </xf>
    <xf numFmtId="167" fontId="19" fillId="0" borderId="0" xfId="0" applyNumberFormat="1" applyFont="1" applyFill="1" applyAlignment="1">
      <alignment horizontal="center"/>
    </xf>
    <xf numFmtId="165" fontId="19" fillId="0" borderId="0" xfId="1" applyNumberFormat="1" applyFont="1" applyFill="1" applyAlignment="1">
      <alignment horizontal="left"/>
    </xf>
    <xf numFmtId="165" fontId="19" fillId="0" borderId="0" xfId="1" applyNumberFormat="1" applyFont="1" applyFill="1" applyAlignment="1">
      <alignment horizontal="center"/>
    </xf>
    <xf numFmtId="3" fontId="19" fillId="0" borderId="0" xfId="1" applyNumberFormat="1" applyFont="1" applyFill="1" applyBorder="1" applyAlignment="1">
      <alignment horizontal="right" indent="1"/>
    </xf>
    <xf numFmtId="164" fontId="19" fillId="0" borderId="0" xfId="1" applyNumberFormat="1" applyFont="1" applyFill="1" applyBorder="1"/>
    <xf numFmtId="164" fontId="19" fillId="0" borderId="0" xfId="1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25" fillId="0" borderId="0" xfId="0" applyFont="1" applyFill="1"/>
    <xf numFmtId="0" fontId="11" fillId="0" borderId="0" xfId="0" applyFont="1" applyFill="1" applyBorder="1"/>
    <xf numFmtId="169" fontId="19" fillId="0" borderId="0" xfId="1" quotePrefix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center"/>
    </xf>
    <xf numFmtId="164" fontId="19" fillId="0" borderId="0" xfId="1" quotePrefix="1" applyNumberFormat="1" applyFont="1" applyFill="1" applyBorder="1" applyAlignment="1">
      <alignment horizontal="center"/>
    </xf>
    <xf numFmtId="169" fontId="19" fillId="0" borderId="0" xfId="1" quotePrefix="1" applyNumberFormat="1" applyFont="1" applyFill="1" applyAlignment="1">
      <alignment horizontal="right"/>
    </xf>
    <xf numFmtId="169" fontId="0" fillId="0" borderId="0" xfId="0" applyNumberFormat="1" applyFill="1"/>
    <xf numFmtId="3" fontId="19" fillId="0" borderId="0" xfId="0" applyNumberFormat="1" applyFont="1" applyFill="1"/>
    <xf numFmtId="169" fontId="19" fillId="0" borderId="1" xfId="1" applyNumberFormat="1" applyFont="1" applyFill="1" applyBorder="1" applyAlignment="1">
      <alignment horizontal="right" indent="1"/>
    </xf>
    <xf numFmtId="164" fontId="19" fillId="0" borderId="0" xfId="1" applyNumberFormat="1" applyFont="1" applyFill="1"/>
    <xf numFmtId="14" fontId="19" fillId="0" borderId="0" xfId="0" applyNumberFormat="1" applyFont="1" applyFill="1" applyAlignment="1">
      <alignment horizontal="left"/>
    </xf>
    <xf numFmtId="0" fontId="11" fillId="0" borderId="0" xfId="0" applyFont="1" applyFill="1"/>
    <xf numFmtId="0" fontId="0" fillId="0" borderId="0" xfId="0" applyFill="1" applyProtection="1"/>
    <xf numFmtId="0" fontId="19" fillId="0" borderId="2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3" fontId="19" fillId="0" borderId="0" xfId="1" applyNumberFormat="1" applyFont="1" applyFill="1" applyAlignment="1">
      <alignment horizontal="right" indent="2"/>
    </xf>
    <xf numFmtId="3" fontId="19" fillId="0" borderId="0" xfId="1" applyNumberFormat="1" applyFont="1" applyFill="1" applyAlignment="1">
      <alignment horizontal="right" indent="1"/>
    </xf>
    <xf numFmtId="3" fontId="19" fillId="0" borderId="0" xfId="1" applyNumberFormat="1" applyFont="1" applyFill="1" applyAlignment="1">
      <alignment horizontal="center"/>
    </xf>
    <xf numFmtId="0" fontId="25" fillId="0" borderId="0" xfId="0" applyFont="1" applyFill="1" applyBorder="1"/>
    <xf numFmtId="169" fontId="19" fillId="0" borderId="0" xfId="1" applyNumberFormat="1" applyFont="1" applyFill="1" applyBorder="1" applyAlignment="1">
      <alignment horizontal="right" indent="2"/>
    </xf>
    <xf numFmtId="169" fontId="19" fillId="0" borderId="1" xfId="1" applyNumberFormat="1" applyFont="1" applyFill="1" applyBorder="1" applyAlignment="1">
      <alignment horizontal="right" indent="2"/>
    </xf>
    <xf numFmtId="0" fontId="21" fillId="0" borderId="0" xfId="0" applyFont="1" applyFill="1"/>
    <xf numFmtId="0" fontId="0" fillId="0" borderId="0" xfId="0" applyFill="1" applyBorder="1"/>
    <xf numFmtId="164" fontId="0" fillId="0" borderId="0" xfId="1" applyNumberFormat="1" applyFont="1" applyFill="1" applyBorder="1"/>
    <xf numFmtId="164" fontId="0" fillId="0" borderId="0" xfId="1" quotePrefix="1" applyNumberFormat="1" applyFont="1" applyFill="1" applyBorder="1" applyAlignment="1">
      <alignment horizontal="center"/>
    </xf>
    <xf numFmtId="164" fontId="0" fillId="0" borderId="0" xfId="1" quotePrefix="1" applyNumberFormat="1" applyFont="1" applyFill="1" applyBorder="1"/>
    <xf numFmtId="169" fontId="19" fillId="0" borderId="0" xfId="0" applyNumberFormat="1" applyFont="1" applyFill="1" applyBorder="1"/>
    <xf numFmtId="169" fontId="19" fillId="0" borderId="1" xfId="1" applyNumberFormat="1" applyFont="1" applyFill="1" applyBorder="1" applyAlignment="1">
      <alignment horizontal="center"/>
    </xf>
    <xf numFmtId="165" fontId="19" fillId="0" borderId="1" xfId="1" applyNumberFormat="1" applyFont="1" applyFill="1" applyBorder="1" applyAlignment="1">
      <alignment horizontal="right"/>
    </xf>
    <xf numFmtId="16" fontId="19" fillId="0" borderId="0" xfId="0" applyNumberFormat="1" applyFont="1" applyFill="1" applyBorder="1"/>
    <xf numFmtId="0" fontId="20" fillId="0" borderId="0" xfId="0" applyFont="1" applyFill="1" applyBorder="1" applyAlignment="1">
      <alignment horizontal="center"/>
    </xf>
    <xf numFmtId="2" fontId="19" fillId="0" borderId="0" xfId="0" applyNumberFormat="1" applyFont="1" applyFill="1" applyBorder="1" applyAlignment="1">
      <alignment horizontal="right" indent="2"/>
    </xf>
    <xf numFmtId="170" fontId="19" fillId="0" borderId="0" xfId="0" applyNumberFormat="1" applyFont="1" applyFill="1" applyBorder="1"/>
    <xf numFmtId="43" fontId="19" fillId="0" borderId="0" xfId="1" quotePrefix="1" applyNumberFormat="1" applyFont="1" applyFill="1" applyBorder="1" applyAlignment="1">
      <alignment horizontal="center"/>
    </xf>
    <xf numFmtId="166" fontId="19" fillId="0" borderId="0" xfId="1" quotePrefix="1" applyNumberFormat="1" applyFont="1" applyFill="1" applyBorder="1" applyAlignment="1">
      <alignment horizontal="center"/>
    </xf>
    <xf numFmtId="43" fontId="19" fillId="0" borderId="0" xfId="1" quotePrefix="1" applyFont="1" applyFill="1" applyBorder="1" applyAlignment="1">
      <alignment horizontal="center"/>
    </xf>
    <xf numFmtId="43" fontId="19" fillId="0" borderId="0" xfId="1" applyNumberFormat="1" applyFont="1" applyFill="1" applyBorder="1" applyAlignment="1">
      <alignment horizontal="center"/>
    </xf>
    <xf numFmtId="0" fontId="25" fillId="0" borderId="0" xfId="0" quotePrefix="1" applyFont="1" applyFill="1"/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indent="1"/>
    </xf>
    <xf numFmtId="0" fontId="19" fillId="0" borderId="3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20" fillId="0" borderId="3" xfId="0" quotePrefix="1" applyFont="1" applyFill="1" applyBorder="1" applyAlignment="1"/>
    <xf numFmtId="0" fontId="20" fillId="0" borderId="3" xfId="0" applyFont="1" applyFill="1" applyBorder="1" applyAlignment="1"/>
    <xf numFmtId="43" fontId="19" fillId="0" borderId="0" xfId="1" applyNumberFormat="1" applyFont="1" applyFill="1" applyBorder="1"/>
    <xf numFmtId="2" fontId="19" fillId="0" borderId="0" xfId="0" applyNumberFormat="1" applyFont="1" applyFill="1" applyBorder="1" applyAlignment="1">
      <alignment horizontal="center"/>
    </xf>
    <xf numFmtId="43" fontId="19" fillId="0" borderId="0" xfId="0" applyNumberFormat="1" applyFont="1" applyFill="1"/>
    <xf numFmtId="0" fontId="14" fillId="0" borderId="0" xfId="0" applyFont="1" applyFill="1"/>
    <xf numFmtId="2" fontId="0" fillId="0" borderId="0" xfId="0" applyNumberFormat="1" applyFill="1"/>
    <xf numFmtId="165" fontId="19" fillId="0" borderId="0" xfId="1" applyNumberFormat="1" applyFont="1" applyFill="1" applyBorder="1" applyAlignment="1">
      <alignment horizontal="center"/>
    </xf>
    <xf numFmtId="47" fontId="0" fillId="0" borderId="0" xfId="0" applyNumberFormat="1" applyFill="1"/>
    <xf numFmtId="43" fontId="19" fillId="0" borderId="0" xfId="1" applyFont="1" applyFill="1" applyBorder="1" applyAlignment="1">
      <alignment horizontal="center"/>
    </xf>
    <xf numFmtId="43" fontId="0" fillId="0" borderId="0" xfId="1" applyFont="1" applyFill="1"/>
    <xf numFmtId="43" fontId="10" fillId="0" borderId="0" xfId="1" applyFont="1" applyFill="1"/>
    <xf numFmtId="0" fontId="23" fillId="0" borderId="0" xfId="0" applyFont="1" applyFill="1" applyAlignment="1">
      <alignment vertical="center"/>
    </xf>
    <xf numFmtId="168" fontId="0" fillId="0" borderId="0" xfId="0" applyNumberFormat="1" applyFill="1"/>
    <xf numFmtId="0" fontId="26" fillId="0" borderId="0" xfId="0" applyFont="1" applyFill="1"/>
    <xf numFmtId="168" fontId="19" fillId="0" borderId="0" xfId="0" applyNumberFormat="1" applyFont="1" applyFill="1"/>
    <xf numFmtId="2" fontId="19" fillId="0" borderId="0" xfId="0" applyNumberFormat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0" xfId="0" applyNumberFormat="1" applyFill="1"/>
    <xf numFmtId="0" fontId="19" fillId="0" borderId="3" xfId="0" applyFont="1" applyFill="1" applyBorder="1"/>
    <xf numFmtId="0" fontId="19" fillId="0" borderId="0" xfId="0" applyFont="1" applyFill="1" applyBorder="1" applyAlignment="1">
      <alignment horizontal="right"/>
    </xf>
    <xf numFmtId="37" fontId="19" fillId="0" borderId="0" xfId="1" applyNumberFormat="1" applyFont="1" applyFill="1" applyAlignment="1">
      <alignment horizontal="center"/>
    </xf>
    <xf numFmtId="37" fontId="19" fillId="0" borderId="0" xfId="1" applyNumberFormat="1" applyFont="1" applyFill="1" applyAlignment="1">
      <alignment horizontal="right" indent="2"/>
    </xf>
    <xf numFmtId="165" fontId="19" fillId="0" borderId="0" xfId="1" applyNumberFormat="1" applyFont="1" applyFill="1"/>
    <xf numFmtId="37" fontId="19" fillId="0" borderId="0" xfId="1" applyNumberFormat="1" applyFont="1" applyFill="1" applyAlignment="1">
      <alignment horizontal="right" indent="1"/>
    </xf>
    <xf numFmtId="37" fontId="19" fillId="0" borderId="0" xfId="1" applyNumberFormat="1" applyFont="1" applyFill="1" applyBorder="1" applyAlignment="1">
      <alignment horizontal="center"/>
    </xf>
    <xf numFmtId="37" fontId="19" fillId="0" borderId="0" xfId="1" applyNumberFormat="1" applyFont="1" applyFill="1" applyBorder="1" applyAlignment="1">
      <alignment horizontal="right" indent="2"/>
    </xf>
    <xf numFmtId="165" fontId="19" fillId="0" borderId="0" xfId="1" applyNumberFormat="1" applyFont="1" applyFill="1" applyBorder="1"/>
    <xf numFmtId="37" fontId="19" fillId="0" borderId="0" xfId="1" applyNumberFormat="1" applyFont="1" applyFill="1" applyBorder="1" applyAlignment="1">
      <alignment horizontal="right" indent="1"/>
    </xf>
    <xf numFmtId="37" fontId="19" fillId="0" borderId="1" xfId="1" applyNumberFormat="1" applyFont="1" applyFill="1" applyBorder="1" applyAlignment="1">
      <alignment horizontal="center"/>
    </xf>
    <xf numFmtId="37" fontId="19" fillId="0" borderId="1" xfId="1" applyNumberFormat="1" applyFont="1" applyFill="1" applyBorder="1" applyAlignment="1">
      <alignment horizontal="right" indent="2"/>
    </xf>
    <xf numFmtId="165" fontId="19" fillId="0" borderId="1" xfId="1" applyNumberFormat="1" applyFont="1" applyFill="1" applyBorder="1"/>
    <xf numFmtId="37" fontId="19" fillId="0" borderId="1" xfId="1" applyNumberFormat="1" applyFont="1" applyFill="1" applyBorder="1" applyAlignment="1">
      <alignment horizontal="right" indent="1"/>
    </xf>
    <xf numFmtId="9" fontId="19" fillId="0" borderId="0" xfId="12" applyFont="1" applyFill="1"/>
    <xf numFmtId="1" fontId="19" fillId="0" borderId="0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left"/>
    </xf>
    <xf numFmtId="0" fontId="20" fillId="0" borderId="4" xfId="0" applyFont="1" applyFill="1" applyBorder="1" applyAlignment="1">
      <alignment horizontal="center"/>
    </xf>
    <xf numFmtId="14" fontId="19" fillId="0" borderId="0" xfId="0" applyNumberFormat="1" applyFont="1" applyFill="1" applyAlignment="1">
      <alignment horizontal="right" indent="1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3" fontId="0" fillId="0" borderId="0" xfId="0" applyNumberFormat="1" applyFill="1"/>
    <xf numFmtId="169" fontId="19" fillId="0" borderId="0" xfId="1" applyNumberFormat="1" applyFont="1" applyFill="1" applyAlignment="1">
      <alignment horizontal="center"/>
    </xf>
    <xf numFmtId="4" fontId="0" fillId="0" borderId="0" xfId="0" applyNumberFormat="1" applyFill="1"/>
    <xf numFmtId="0" fontId="29" fillId="0" borderId="1" xfId="30" applyFont="1" applyBorder="1" applyAlignment="1">
      <alignment horizontal="center"/>
    </xf>
    <xf numFmtId="0" fontId="3" fillId="0" borderId="0" xfId="30"/>
    <xf numFmtId="0" fontId="3" fillId="0" borderId="0" xfId="30" applyNumberFormat="1"/>
    <xf numFmtId="2" fontId="14" fillId="0" borderId="0" xfId="0" applyNumberFormat="1" applyFont="1" applyFill="1"/>
    <xf numFmtId="171" fontId="19" fillId="0" borderId="0" xfId="1" applyNumberFormat="1" applyFont="1" applyFill="1" applyBorder="1" applyAlignment="1">
      <alignment horizontal="right" indent="1"/>
    </xf>
    <xf numFmtId="0" fontId="29" fillId="0" borderId="1" xfId="29" applyFont="1" applyFill="1" applyBorder="1" applyAlignment="1">
      <alignment horizontal="center" wrapText="1"/>
    </xf>
    <xf numFmtId="0" fontId="28" fillId="0" borderId="0" xfId="29" applyFont="1" applyFill="1"/>
    <xf numFmtId="0" fontId="28" fillId="0" borderId="0" xfId="29" applyFont="1" applyFill="1" applyAlignment="1">
      <alignment horizontal="center"/>
    </xf>
    <xf numFmtId="41" fontId="28" fillId="0" borderId="0" xfId="32" applyNumberFormat="1" applyFont="1" applyFill="1" applyAlignment="1">
      <alignment horizontal="center"/>
    </xf>
    <xf numFmtId="41" fontId="28" fillId="0" borderId="0" xfId="32" applyNumberFormat="1" applyFont="1" applyFill="1"/>
    <xf numFmtId="165" fontId="31" fillId="0" borderId="0" xfId="1" applyNumberFormat="1" applyFont="1" applyFill="1"/>
    <xf numFmtId="0" fontId="10" fillId="0" borderId="0" xfId="0" applyFont="1"/>
    <xf numFmtId="0" fontId="21" fillId="0" borderId="3" xfId="0" applyFont="1" applyFill="1" applyBorder="1"/>
    <xf numFmtId="164" fontId="19" fillId="0" borderId="3" xfId="0" applyNumberFormat="1" applyFont="1" applyFill="1" applyBorder="1"/>
    <xf numFmtId="43" fontId="19" fillId="0" borderId="1" xfId="1" applyFont="1" applyFill="1" applyBorder="1" applyAlignment="1">
      <alignment horizontal="center"/>
    </xf>
    <xf numFmtId="0" fontId="29" fillId="0" borderId="1" xfId="30" applyNumberFormat="1" applyFont="1" applyBorder="1" applyAlignment="1">
      <alignment horizontal="left" wrapText="1"/>
    </xf>
    <xf numFmtId="0" fontId="32" fillId="0" borderId="1" xfId="30" applyNumberFormat="1" applyFont="1" applyBorder="1" applyAlignment="1">
      <alignment horizontal="centerContinuous"/>
    </xf>
    <xf numFmtId="0" fontId="3" fillId="0" borderId="1" xfId="30" applyBorder="1" applyAlignment="1">
      <alignment horizontal="centerContinuous"/>
    </xf>
    <xf numFmtId="0" fontId="1" fillId="0" borderId="0" xfId="30" applyFont="1"/>
    <xf numFmtId="172" fontId="0" fillId="0" borderId="0" xfId="1" applyNumberFormat="1" applyFont="1" applyFill="1" applyBorder="1"/>
    <xf numFmtId="16" fontId="28" fillId="0" borderId="0" xfId="29" quotePrefix="1" applyNumberFormat="1" applyFont="1" applyFill="1" applyAlignment="1">
      <alignment horizontal="center"/>
    </xf>
    <xf numFmtId="0" fontId="28" fillId="0" borderId="0" xfId="29" quotePrefix="1" applyFont="1" applyFill="1" applyAlignment="1">
      <alignment horizontal="center"/>
    </xf>
    <xf numFmtId="0" fontId="10" fillId="0" borderId="0" xfId="0" quotePrefix="1" applyFont="1" applyFill="1" applyAlignment="1">
      <alignment horizontal="center"/>
    </xf>
    <xf numFmtId="173" fontId="28" fillId="0" borderId="0" xfId="30" applyNumberFormat="1" applyFont="1" applyFill="1" applyAlignment="1">
      <alignment horizontal="left"/>
    </xf>
    <xf numFmtId="0" fontId="0" fillId="0" borderId="0" xfId="0" quotePrefix="1"/>
    <xf numFmtId="0" fontId="29" fillId="0" borderId="1" xfId="29" applyFont="1" applyFill="1" applyBorder="1" applyAlignment="1">
      <alignment horizontal="left" wrapText="1"/>
    </xf>
    <xf numFmtId="165" fontId="0" fillId="0" borderId="0" xfId="1" applyNumberFormat="1" applyFont="1"/>
    <xf numFmtId="0" fontId="17" fillId="0" borderId="1" xfId="0" quotePrefix="1" applyFont="1" applyBorder="1"/>
    <xf numFmtId="0" fontId="29" fillId="0" borderId="1" xfId="29" applyFont="1" applyFill="1" applyBorder="1" applyAlignment="1">
      <alignment horizontal="centerContinuous"/>
    </xf>
    <xf numFmtId="0" fontId="28" fillId="0" borderId="1" xfId="29" applyFont="1" applyFill="1" applyBorder="1" applyAlignment="1">
      <alignment horizontal="centerContinuous"/>
    </xf>
    <xf numFmtId="0" fontId="17" fillId="0" borderId="1" xfId="0" quotePrefix="1" applyFont="1" applyFill="1" applyBorder="1"/>
    <xf numFmtId="1" fontId="31" fillId="0" borderId="0" xfId="1" applyNumberFormat="1" applyFont="1" applyFill="1"/>
    <xf numFmtId="0" fontId="29" fillId="0" borderId="1" xfId="30" applyNumberFormat="1" applyFont="1" applyFill="1" applyBorder="1" applyAlignment="1">
      <alignment horizontal="left" wrapText="1"/>
    </xf>
    <xf numFmtId="1" fontId="28" fillId="0" borderId="0" xfId="12" applyNumberFormat="1" applyFont="1" applyFill="1"/>
    <xf numFmtId="0" fontId="19" fillId="0" borderId="2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2" xfId="0" quotePrefix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5" xfId="0" quotePrefix="1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</cellXfs>
  <cellStyles count="35">
    <cellStyle name="Comma" xfId="1" builtinId="3"/>
    <cellStyle name="Comma 2" xfId="2" xr:uid="{00000000-0005-0000-0000-000001000000}"/>
    <cellStyle name="Comma 2 2" xfId="14" xr:uid="{1C9077E0-5527-45A6-8EEF-D5F248207782}"/>
    <cellStyle name="Comma 3" xfId="3" xr:uid="{00000000-0005-0000-0000-000002000000}"/>
    <cellStyle name="Comma 3 2" xfId="19" xr:uid="{3120B3EF-49C7-4F29-8FAD-0F36D06DEE97}"/>
    <cellStyle name="Comma 4" xfId="26" xr:uid="{72CFA3EC-CECD-491F-ADC8-BC4C3EA901CF}"/>
    <cellStyle name="Comma 5" xfId="28" xr:uid="{70FA35DD-5A4C-4F46-9C0F-4EF98207937B}"/>
    <cellStyle name="Comma 5 2" xfId="31" xr:uid="{1A54A7D5-5C84-48D6-943B-F788A3F8D756}"/>
    <cellStyle name="Currency" xfId="32" builtinId="4"/>
    <cellStyle name="Currency 2" xfId="34" xr:uid="{8219487F-D241-4C0D-8320-8F18D40FD705}"/>
    <cellStyle name="Hyperlink" xfId="4" builtinId="8"/>
    <cellStyle name="Hyperlink 2" xfId="5" xr:uid="{00000000-0005-0000-0000-000004000000}"/>
    <cellStyle name="Hyperlink 3" xfId="6" xr:uid="{00000000-0005-0000-0000-000005000000}"/>
    <cellStyle name="Normal" xfId="0" builtinId="0"/>
    <cellStyle name="Normal 10" xfId="27" xr:uid="{89A3A5E2-F786-4249-BED3-9C369DE53169}"/>
    <cellStyle name="Normal 11" xfId="29" xr:uid="{4B9E3B86-F018-48E8-A1B7-B09DE503DA20}"/>
    <cellStyle name="Normal 11 2" xfId="30" xr:uid="{75FDC25E-C28E-497B-82EF-A28CA2584098}"/>
    <cellStyle name="Normal 11 3" xfId="33" xr:uid="{5440E113-77DF-4DAD-9026-4858CCB03DB9}"/>
    <cellStyle name="Normal 2" xfId="7" xr:uid="{00000000-0005-0000-0000-000007000000}"/>
    <cellStyle name="Normal 2 2" xfId="8" xr:uid="{00000000-0005-0000-0000-000008000000}"/>
    <cellStyle name="Normal 2 2 2" xfId="20" xr:uid="{4218E9B5-D982-4A69-9450-7E22F3E734BF}"/>
    <cellStyle name="Normal 3" xfId="9" xr:uid="{00000000-0005-0000-0000-000009000000}"/>
    <cellStyle name="Normal 3 2" xfId="21" xr:uid="{70607CDE-CC71-4B27-B690-3D2401DD0B38}"/>
    <cellStyle name="Normal 4" xfId="10" xr:uid="{00000000-0005-0000-0000-00000A000000}"/>
    <cellStyle name="Normal 4 2" xfId="15" xr:uid="{4805FFD6-0377-46EF-881C-FDB9DF487011}"/>
    <cellStyle name="Normal 5" xfId="11" xr:uid="{00000000-0005-0000-0000-00000B000000}"/>
    <cellStyle name="Normal 5 2" xfId="22" xr:uid="{906AD1FA-0DAF-4AED-832F-0612469F913A}"/>
    <cellStyle name="Normal 6" xfId="13" xr:uid="{EBE75F6A-C88B-45B8-A8CA-B04BAAF6B28C}"/>
    <cellStyle name="Normal 7" xfId="16" xr:uid="{3D34A042-2E55-4E8C-B59D-A542FFF81875}"/>
    <cellStyle name="Normal 8" xfId="17" xr:uid="{143C9F5F-F88C-47AA-BCFD-A8A982B2D432}"/>
    <cellStyle name="Normal 8 2" xfId="18" xr:uid="{7A34C163-7F3A-42B6-97BB-A06A0BE76841}"/>
    <cellStyle name="Normal 8 2 2" xfId="24" xr:uid="{A6D8C73B-EA27-43A5-9A18-2BFF8F10C0A2}"/>
    <cellStyle name="Normal 8 3" xfId="23" xr:uid="{A94EEB1A-B27E-4B51-9834-B757898F882E}"/>
    <cellStyle name="Normal 9" xfId="25" xr:uid="{AF562AB2-2E7D-4C04-814F-6AC30A92CE3A}"/>
    <cellStyle name="Percent" xfId="12" builtinId="5"/>
  </cellStyles>
  <dxfs count="0"/>
  <tableStyles count="0" defaultTableStyle="TableStyleMedium9" defaultPivotStyle="PivotStyleLight16"/>
  <colors>
    <mruColors>
      <color rgb="FF0066FF"/>
      <color rgb="FF0000FF"/>
      <color rgb="FFFFFF00"/>
      <color rgb="FFFFCF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Historical U.S. soybean harvesting progress comparison </a:t>
            </a:r>
          </a:p>
        </c:rich>
      </c:tx>
      <c:layout>
        <c:manualLayout>
          <c:xMode val="edge"/>
          <c:yMode val="edge"/>
          <c:x val="1.4319901188821985E-2"/>
          <c:y val="6.28930817610062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49378429274844E-2"/>
          <c:y val="0.18323896236903192"/>
          <c:w val="0.79446092392393375"/>
          <c:h val="0.61935891827624112"/>
        </c:manualLayout>
      </c:layout>
      <c:lineChart>
        <c:grouping val="standard"/>
        <c:varyColors val="0"/>
        <c:ser>
          <c:idx val="0"/>
          <c:order val="0"/>
          <c:tx>
            <c:strRef>
              <c:f>Cover!$B$2</c:f>
              <c:strCache>
                <c:ptCount val="1"/>
                <c:pt idx="0">
                  <c:v>2016–2020 average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Cover!$A$3:$A$11</c:f>
              <c:numCache>
                <c:formatCode>m/d/yy;@</c:formatCode>
                <c:ptCount val="9"/>
                <c:pt idx="0">
                  <c:v>44451</c:v>
                </c:pt>
                <c:pt idx="1">
                  <c:v>44458</c:v>
                </c:pt>
                <c:pt idx="2">
                  <c:v>44465</c:v>
                </c:pt>
                <c:pt idx="3">
                  <c:v>44472</c:v>
                </c:pt>
                <c:pt idx="4">
                  <c:v>44479</c:v>
                </c:pt>
                <c:pt idx="5">
                  <c:v>44486</c:v>
                </c:pt>
                <c:pt idx="6">
                  <c:v>44493</c:v>
                </c:pt>
                <c:pt idx="7">
                  <c:v>44500</c:v>
                </c:pt>
                <c:pt idx="8">
                  <c:v>44507</c:v>
                </c:pt>
              </c:numCache>
            </c:numRef>
          </c:cat>
          <c:val>
            <c:numRef>
              <c:f>Cover!$B$3:$B$11</c:f>
              <c:numCache>
                <c:formatCode>0</c:formatCode>
                <c:ptCount val="9"/>
                <c:pt idx="0">
                  <c:v>0</c:v>
                </c:pt>
                <c:pt idx="1">
                  <c:v>6</c:v>
                </c:pt>
                <c:pt idx="2">
                  <c:v>13</c:v>
                </c:pt>
                <c:pt idx="3">
                  <c:v>26</c:v>
                </c:pt>
                <c:pt idx="4">
                  <c:v>40</c:v>
                </c:pt>
                <c:pt idx="5">
                  <c:v>55</c:v>
                </c:pt>
                <c:pt idx="6">
                  <c:v>70</c:v>
                </c:pt>
                <c:pt idx="7">
                  <c:v>81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6-4E62-BB13-BB0941664A8C}"/>
            </c:ext>
          </c:extLst>
        </c:ser>
        <c:ser>
          <c:idx val="1"/>
          <c:order val="1"/>
          <c:tx>
            <c:strRef>
              <c:f>Cover!$C$2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0066FF"/>
              </a:solidFill>
              <a:round/>
            </a:ln>
            <a:effectLst/>
          </c:spPr>
          <c:marker>
            <c:symbol val="none"/>
          </c:marker>
          <c:cat>
            <c:numRef>
              <c:f>Cover!$A$3:$A$11</c:f>
              <c:numCache>
                <c:formatCode>m/d/yy;@</c:formatCode>
                <c:ptCount val="9"/>
                <c:pt idx="0">
                  <c:v>44451</c:v>
                </c:pt>
                <c:pt idx="1">
                  <c:v>44458</c:v>
                </c:pt>
                <c:pt idx="2">
                  <c:v>44465</c:v>
                </c:pt>
                <c:pt idx="3">
                  <c:v>44472</c:v>
                </c:pt>
                <c:pt idx="4">
                  <c:v>44479</c:v>
                </c:pt>
                <c:pt idx="5">
                  <c:v>44486</c:v>
                </c:pt>
                <c:pt idx="6">
                  <c:v>44493</c:v>
                </c:pt>
                <c:pt idx="7">
                  <c:v>44500</c:v>
                </c:pt>
                <c:pt idx="8">
                  <c:v>44507</c:v>
                </c:pt>
              </c:numCache>
            </c:numRef>
          </c:cat>
          <c:val>
            <c:numRef>
              <c:f>Cover!$C$3:$C$11</c:f>
              <c:numCache>
                <c:formatCode>0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18</c:v>
                </c:pt>
                <c:pt idx="3">
                  <c:v>35</c:v>
                </c:pt>
                <c:pt idx="4">
                  <c:v>58</c:v>
                </c:pt>
                <c:pt idx="5">
                  <c:v>73</c:v>
                </c:pt>
                <c:pt idx="6">
                  <c:v>82</c:v>
                </c:pt>
                <c:pt idx="7">
                  <c:v>86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56-4E62-BB13-BB0941664A8C}"/>
            </c:ext>
          </c:extLst>
        </c:ser>
        <c:ser>
          <c:idx val="2"/>
          <c:order val="2"/>
          <c:tx>
            <c:strRef>
              <c:f>Cover!$D$2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Cover!$A$3:$A$11</c:f>
              <c:numCache>
                <c:formatCode>m/d/yy;@</c:formatCode>
                <c:ptCount val="9"/>
                <c:pt idx="0">
                  <c:v>44451</c:v>
                </c:pt>
                <c:pt idx="1">
                  <c:v>44458</c:v>
                </c:pt>
                <c:pt idx="2">
                  <c:v>44465</c:v>
                </c:pt>
                <c:pt idx="3">
                  <c:v>44472</c:v>
                </c:pt>
                <c:pt idx="4">
                  <c:v>44479</c:v>
                </c:pt>
                <c:pt idx="5">
                  <c:v>44486</c:v>
                </c:pt>
                <c:pt idx="6">
                  <c:v>44493</c:v>
                </c:pt>
                <c:pt idx="7">
                  <c:v>44500</c:v>
                </c:pt>
                <c:pt idx="8">
                  <c:v>44507</c:v>
                </c:pt>
              </c:numCache>
            </c:numRef>
          </c:cat>
          <c:val>
            <c:numRef>
              <c:f>Cover!$D$3:$D$11</c:f>
              <c:numCache>
                <c:formatCode>0</c:formatCode>
                <c:ptCount val="9"/>
                <c:pt idx="0">
                  <c:v>0</c:v>
                </c:pt>
                <c:pt idx="1">
                  <c:v>6</c:v>
                </c:pt>
                <c:pt idx="2">
                  <c:v>16</c:v>
                </c:pt>
                <c:pt idx="3">
                  <c:v>34</c:v>
                </c:pt>
                <c:pt idx="4">
                  <c:v>49</c:v>
                </c:pt>
                <c:pt idx="5">
                  <c:v>60</c:v>
                </c:pt>
                <c:pt idx="6">
                  <c:v>73</c:v>
                </c:pt>
                <c:pt idx="7">
                  <c:v>79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56-4E62-BB13-BB0941664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7172272"/>
        <c:axId val="667170632"/>
      </c:lineChart>
      <c:dateAx>
        <c:axId val="667172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Week ending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141365806956378"/>
              <c:y val="0.861516115795260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m/d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0632"/>
        <c:crosses val="autoZero"/>
        <c:auto val="1"/>
        <c:lblOffset val="100"/>
        <c:baseTimeUnit val="days"/>
      </c:dateAx>
      <c:valAx>
        <c:axId val="6671706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Percent</a:t>
                </a:r>
                <a:r>
                  <a:rPr lang="en-US" sz="900" baseline="0"/>
                  <a:t>age of sown acreage harvested</a:t>
                </a:r>
                <a:endParaRPr lang="en-US" sz="900"/>
              </a:p>
            </c:rich>
          </c:tx>
          <c:layout>
            <c:manualLayout>
              <c:xMode val="edge"/>
              <c:yMode val="edge"/>
              <c:x val="0"/>
              <c:y val="6.537561668191549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227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6795515837164519"/>
          <c:y val="0.36566314008861944"/>
          <c:w val="0.23204484162835484"/>
          <c:h val="0.187641442753916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 i="0" u="none" strike="noStrike" baseline="0">
                <a:effectLst/>
              </a:rPr>
              <a:t>Biofuel share of soybean oil use projected to rise</a:t>
            </a:r>
            <a:endParaRPr lang="en-US" sz="1050" b="1"/>
          </a:p>
        </c:rich>
      </c:tx>
      <c:layout>
        <c:manualLayout>
          <c:xMode val="edge"/>
          <c:yMode val="edge"/>
          <c:x val="1.4319901188821985E-2"/>
          <c:y val="6.28930817610062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49461070071036E-2"/>
          <c:y val="0.1458858099900259"/>
          <c:w val="0.79446092392393375"/>
          <c:h val="0.662094042489971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1'!$B$1</c:f>
              <c:strCache>
                <c:ptCount val="1"/>
                <c:pt idx="0">
                  <c:v>Biofuel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'Figure 1'!$A$2:$A$11</c:f>
              <c:strCache>
                <c:ptCount val="10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21/22*</c:v>
                </c:pt>
              </c:strCache>
            </c:strRef>
          </c:cat>
          <c:val>
            <c:numRef>
              <c:f>'Figure 1'!$B$2:$B$11</c:f>
              <c:numCache>
                <c:formatCode>General</c:formatCode>
                <c:ptCount val="10"/>
                <c:pt idx="0">
                  <c:v>24.958621588270237</c:v>
                </c:pt>
                <c:pt idx="1">
                  <c:v>26.856158898178183</c:v>
                </c:pt>
                <c:pt idx="2">
                  <c:v>26.577331563209622</c:v>
                </c:pt>
                <c:pt idx="3">
                  <c:v>28.121865008874391</c:v>
                </c:pt>
                <c:pt idx="4">
                  <c:v>31.216399385719502</c:v>
                </c:pt>
                <c:pt idx="5">
                  <c:v>34.301392697342273</c:v>
                </c:pt>
                <c:pt idx="6">
                  <c:v>37.873745459119846</c:v>
                </c:pt>
                <c:pt idx="7">
                  <c:v>38.79479656200553</c:v>
                </c:pt>
                <c:pt idx="8">
                  <c:v>38.020393654232478</c:v>
                </c:pt>
                <c:pt idx="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77-4E46-896D-7A0D8B096427}"/>
            </c:ext>
          </c:extLst>
        </c:ser>
        <c:ser>
          <c:idx val="2"/>
          <c:order val="1"/>
          <c:tx>
            <c:strRef>
              <c:f>'Figure 1'!$C$1</c:f>
              <c:strCache>
                <c:ptCount val="1"/>
                <c:pt idx="0">
                  <c:v>Food and other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1'!$A$2:$A$11</c:f>
              <c:strCache>
                <c:ptCount val="10"/>
                <c:pt idx="0">
                  <c:v>12/13</c:v>
                </c:pt>
                <c:pt idx="1">
                  <c:v>13/14</c:v>
                </c:pt>
                <c:pt idx="2">
                  <c:v>14/15</c:v>
                </c:pt>
                <c:pt idx="3">
                  <c:v>15/16</c:v>
                </c:pt>
                <c:pt idx="4">
                  <c:v>16/17</c:v>
                </c:pt>
                <c:pt idx="5">
                  <c:v>17/18</c:v>
                </c:pt>
                <c:pt idx="6">
                  <c:v>18/19</c:v>
                </c:pt>
                <c:pt idx="7">
                  <c:v>19/20</c:v>
                </c:pt>
                <c:pt idx="8">
                  <c:v>20/21</c:v>
                </c:pt>
                <c:pt idx="9">
                  <c:v>21/22*</c:v>
                </c:pt>
              </c:strCache>
            </c:strRef>
          </c:cat>
          <c:val>
            <c:numRef>
              <c:f>'Figure 1'!$C$2:$C$11</c:f>
              <c:numCache>
                <c:formatCode>General</c:formatCode>
                <c:ptCount val="10"/>
                <c:pt idx="0">
                  <c:v>75.041378411729767</c:v>
                </c:pt>
                <c:pt idx="1">
                  <c:v>73.14384110182182</c:v>
                </c:pt>
                <c:pt idx="2">
                  <c:v>73.422668436790374</c:v>
                </c:pt>
                <c:pt idx="3">
                  <c:v>71.878134991125606</c:v>
                </c:pt>
                <c:pt idx="4">
                  <c:v>68.783600614280502</c:v>
                </c:pt>
                <c:pt idx="5">
                  <c:v>65.698607302657734</c:v>
                </c:pt>
                <c:pt idx="6">
                  <c:v>62.126254540880154</c:v>
                </c:pt>
                <c:pt idx="7">
                  <c:v>61.20520343799447</c:v>
                </c:pt>
                <c:pt idx="8">
                  <c:v>61.979606345767515</c:v>
                </c:pt>
                <c:pt idx="9">
                  <c:v>56.000000000000007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77-4E46-896D-7A0D8B096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7172272"/>
        <c:axId val="667170632"/>
      </c:barChart>
      <c:catAx>
        <c:axId val="667172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Marketing</a:t>
                </a:r>
                <a:r>
                  <a:rPr lang="en-US" sz="900" baseline="0"/>
                  <a:t> year</a:t>
                </a:r>
                <a:endParaRPr lang="en-US" sz="900"/>
              </a:p>
            </c:rich>
          </c:tx>
          <c:layout>
            <c:manualLayout>
              <c:xMode val="edge"/>
              <c:yMode val="edge"/>
              <c:x val="0.42403951341476442"/>
              <c:y val="0.873964252680082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0632"/>
        <c:crosses val="autoZero"/>
        <c:auto val="1"/>
        <c:lblAlgn val="ctr"/>
        <c:lblOffset val="100"/>
        <c:noMultiLvlLbl val="0"/>
      </c:catAx>
      <c:valAx>
        <c:axId val="6671706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aseline="0"/>
                  <a:t>Percent</a:t>
                </a:r>
                <a:endParaRPr lang="en-US" sz="900"/>
              </a:p>
            </c:rich>
          </c:tx>
          <c:layout>
            <c:manualLayout>
              <c:xMode val="edge"/>
              <c:yMode val="edge"/>
              <c:x val="1.2515702731903489E-2"/>
              <c:y val="6.567441006778998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263439442558087"/>
          <c:y val="6.929726159397015E-2"/>
          <c:w val="0.27473104212050775"/>
          <c:h val="6.1148336162947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5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 i="0" baseline="0">
                <a:effectLst/>
              </a:rPr>
              <a:t>2020/21 India crude palm oil prices, Cost, Insurance, and Freight (CIF) India ports</a:t>
            </a:r>
            <a:endParaRPr lang="en-US" sz="1050">
              <a:effectLst/>
            </a:endParaRPr>
          </a:p>
        </c:rich>
      </c:tx>
      <c:layout>
        <c:manualLayout>
          <c:xMode val="edge"/>
          <c:yMode val="edge"/>
          <c:x val="1.4319901188821985E-2"/>
          <c:y val="6.28930817610062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5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49430226102837E-2"/>
          <c:y val="0.17677191837757089"/>
          <c:w val="0.76862109775037812"/>
          <c:h val="0.6396460455866295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2'!$B$1</c:f>
              <c:strCache>
                <c:ptCount val="1"/>
                <c:pt idx="0">
                  <c:v>Crude palm oil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2'!$A$2:$A$13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</c:v>
                </c:pt>
                <c:pt idx="11">
                  <c:v>Sept</c:v>
                </c:pt>
              </c:strCache>
            </c:strRef>
          </c:cat>
          <c:val>
            <c:numRef>
              <c:f>'Figure 2'!$B$2:$B$13</c:f>
              <c:numCache>
                <c:formatCode>_(* #,##0_);_(* \(#,##0\);_(* "-"??_);_(@_)</c:formatCode>
                <c:ptCount val="12"/>
                <c:pt idx="0">
                  <c:v>774</c:v>
                </c:pt>
                <c:pt idx="1">
                  <c:v>873</c:v>
                </c:pt>
                <c:pt idx="2">
                  <c:v>974</c:v>
                </c:pt>
                <c:pt idx="3">
                  <c:v>1047</c:v>
                </c:pt>
                <c:pt idx="4">
                  <c:v>1089</c:v>
                </c:pt>
                <c:pt idx="5">
                  <c:v>1126</c:v>
                </c:pt>
                <c:pt idx="6">
                  <c:v>1173</c:v>
                </c:pt>
                <c:pt idx="7">
                  <c:v>1250</c:v>
                </c:pt>
                <c:pt idx="8">
                  <c:v>1075</c:v>
                </c:pt>
                <c:pt idx="9">
                  <c:v>1230</c:v>
                </c:pt>
                <c:pt idx="10" formatCode="_(* #,##0_);_(* \(#,##0\);_(* &quot;-&quot;_);_(@_)">
                  <c:v>1217</c:v>
                </c:pt>
                <c:pt idx="11" formatCode="_(* #,##0_);_(* \(#,##0\);_(* &quot;-&quot;_);_(@_)">
                  <c:v>1240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7C-4782-977B-9EDD584B4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172272"/>
        <c:axId val="667170632"/>
      </c:barChart>
      <c:catAx>
        <c:axId val="667172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Month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46224745162668"/>
              <c:y val="0.88344724772263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0632"/>
        <c:crosses val="autoZero"/>
        <c:auto val="1"/>
        <c:lblAlgn val="ctr"/>
        <c:lblOffset val="100"/>
        <c:noMultiLvlLbl val="0"/>
      </c:catAx>
      <c:valAx>
        <c:axId val="667170632"/>
        <c:scaling>
          <c:orientation val="minMax"/>
          <c:max val="14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aseline="0"/>
                  <a:t>Dollars per metric ton</a:t>
                </a:r>
                <a:endParaRPr lang="en-US" sz="900"/>
              </a:p>
            </c:rich>
          </c:tx>
          <c:layout>
            <c:manualLayout>
              <c:xMode val="edge"/>
              <c:yMode val="edge"/>
              <c:x val="1.2515656867608835E-2"/>
              <c:y val="9.9068652652183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227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 i="0" baseline="0">
                <a:effectLst/>
              </a:rPr>
              <a:t>India's 2021 effective import duties</a:t>
            </a:r>
            <a:endParaRPr lang="en-US" sz="1050">
              <a:effectLst/>
            </a:endParaRPr>
          </a:p>
        </c:rich>
      </c:tx>
      <c:layout>
        <c:manualLayout>
          <c:xMode val="edge"/>
          <c:yMode val="edge"/>
          <c:x val="1.4319901188821985E-2"/>
          <c:y val="6.28930817610062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49458449476767E-2"/>
          <c:y val="0.14965327639129855"/>
          <c:w val="0.76862109775037812"/>
          <c:h val="0.590626447429365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</c:f>
              <c:strCache>
                <c:ptCount val="1"/>
                <c:pt idx="0">
                  <c:v>2/2/2021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3'!$A$3:$A$8</c:f>
              <c:strCache>
                <c:ptCount val="6"/>
                <c:pt idx="0">
                  <c:v>Crude Palm Oil</c:v>
                </c:pt>
                <c:pt idx="1">
                  <c:v>Refined, Bleached and Deodorized Palm Olein</c:v>
                </c:pt>
                <c:pt idx="2">
                  <c:v>Crude Soybean Oil</c:v>
                </c:pt>
                <c:pt idx="3">
                  <c:v>Refined Soybean Oil</c:v>
                </c:pt>
                <c:pt idx="4">
                  <c:v>Crude Sunflower Oil</c:v>
                </c:pt>
                <c:pt idx="5">
                  <c:v>Refined Sunflower Oil</c:v>
                </c:pt>
              </c:strCache>
            </c:strRef>
          </c:cat>
          <c:val>
            <c:numRef>
              <c:f>'Figure 3'!$B$3:$B$8</c:f>
              <c:numCache>
                <c:formatCode>0</c:formatCode>
                <c:ptCount val="6"/>
                <c:pt idx="0">
                  <c:v>37.549999999999997</c:v>
                </c:pt>
                <c:pt idx="1">
                  <c:v>49.5</c:v>
                </c:pt>
                <c:pt idx="2">
                  <c:v>38.5</c:v>
                </c:pt>
                <c:pt idx="3">
                  <c:v>49.5</c:v>
                </c:pt>
                <c:pt idx="4">
                  <c:v>38.5</c:v>
                </c:pt>
                <c:pt idx="5">
                  <c:v>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A-4CC5-875E-DEF2BA5EECF8}"/>
            </c:ext>
          </c:extLst>
        </c:ser>
        <c:ser>
          <c:idx val="1"/>
          <c:order val="1"/>
          <c:tx>
            <c:strRef>
              <c:f>'Figure 3'!$C$2</c:f>
              <c:strCache>
                <c:ptCount val="1"/>
                <c:pt idx="0">
                  <c:v>6/30/2021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3'!$A$3:$A$8</c:f>
              <c:strCache>
                <c:ptCount val="6"/>
                <c:pt idx="0">
                  <c:v>Crude Palm Oil</c:v>
                </c:pt>
                <c:pt idx="1">
                  <c:v>Refined, Bleached and Deodorized Palm Olein</c:v>
                </c:pt>
                <c:pt idx="2">
                  <c:v>Crude Soybean Oil</c:v>
                </c:pt>
                <c:pt idx="3">
                  <c:v>Refined Soybean Oil</c:v>
                </c:pt>
                <c:pt idx="4">
                  <c:v>Crude Sunflower Oil</c:v>
                </c:pt>
                <c:pt idx="5">
                  <c:v>Refined Sunflower Oil</c:v>
                </c:pt>
              </c:strCache>
            </c:strRef>
          </c:cat>
          <c:val>
            <c:numRef>
              <c:f>'Figure 3'!$C$3:$C$8</c:f>
              <c:numCache>
                <c:formatCode>0</c:formatCode>
                <c:ptCount val="6"/>
                <c:pt idx="0">
                  <c:v>30.25</c:v>
                </c:pt>
                <c:pt idx="1">
                  <c:v>41.25</c:v>
                </c:pt>
                <c:pt idx="2">
                  <c:v>38.5</c:v>
                </c:pt>
                <c:pt idx="3">
                  <c:v>49.5</c:v>
                </c:pt>
                <c:pt idx="4">
                  <c:v>38.5</c:v>
                </c:pt>
                <c:pt idx="5">
                  <c:v>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1A-4CC5-875E-DEF2BA5EECF8}"/>
            </c:ext>
          </c:extLst>
        </c:ser>
        <c:ser>
          <c:idx val="2"/>
          <c:order val="2"/>
          <c:tx>
            <c:strRef>
              <c:f>'Figure 3'!$D$2</c:f>
              <c:strCache>
                <c:ptCount val="1"/>
                <c:pt idx="0">
                  <c:v>8/20/2021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3'!$A$3:$A$8</c:f>
              <c:strCache>
                <c:ptCount val="6"/>
                <c:pt idx="0">
                  <c:v>Crude Palm Oil</c:v>
                </c:pt>
                <c:pt idx="1">
                  <c:v>Refined, Bleached and Deodorized Palm Olein</c:v>
                </c:pt>
                <c:pt idx="2">
                  <c:v>Crude Soybean Oil</c:v>
                </c:pt>
                <c:pt idx="3">
                  <c:v>Refined Soybean Oil</c:v>
                </c:pt>
                <c:pt idx="4">
                  <c:v>Crude Sunflower Oil</c:v>
                </c:pt>
                <c:pt idx="5">
                  <c:v>Refined Sunflower Oil</c:v>
                </c:pt>
              </c:strCache>
            </c:strRef>
          </c:cat>
          <c:val>
            <c:numRef>
              <c:f>'Figure 3'!$D$3:$D$8</c:f>
              <c:numCache>
                <c:formatCode>0</c:formatCode>
                <c:ptCount val="6"/>
                <c:pt idx="0">
                  <c:v>30.25</c:v>
                </c:pt>
                <c:pt idx="1">
                  <c:v>41.25</c:v>
                </c:pt>
                <c:pt idx="2">
                  <c:v>30.25</c:v>
                </c:pt>
                <c:pt idx="3">
                  <c:v>41.25</c:v>
                </c:pt>
                <c:pt idx="4">
                  <c:v>30.25</c:v>
                </c:pt>
                <c:pt idx="5">
                  <c:v>41.25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1A-4CC5-875E-DEF2BA5EECF8}"/>
            </c:ext>
          </c:extLst>
        </c:ser>
        <c:ser>
          <c:idx val="3"/>
          <c:order val="3"/>
          <c:tx>
            <c:strRef>
              <c:f>'Figure 3'!$E$2</c:f>
              <c:strCache>
                <c:ptCount val="1"/>
                <c:pt idx="0">
                  <c:v>9/11/2021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3'!$A$3:$A$8</c:f>
              <c:strCache>
                <c:ptCount val="6"/>
                <c:pt idx="0">
                  <c:v>Crude Palm Oil</c:v>
                </c:pt>
                <c:pt idx="1">
                  <c:v>Refined, Bleached and Deodorized Palm Olein</c:v>
                </c:pt>
                <c:pt idx="2">
                  <c:v>Crude Soybean Oil</c:v>
                </c:pt>
                <c:pt idx="3">
                  <c:v>Refined Soybean Oil</c:v>
                </c:pt>
                <c:pt idx="4">
                  <c:v>Crude Sunflower Oil</c:v>
                </c:pt>
                <c:pt idx="5">
                  <c:v>Refined Sunflower Oil</c:v>
                </c:pt>
              </c:strCache>
            </c:strRef>
          </c:cat>
          <c:val>
            <c:numRef>
              <c:f>'Figure 3'!$E$3:$E$8</c:f>
              <c:numCache>
                <c:formatCode>0</c:formatCode>
                <c:ptCount val="6"/>
                <c:pt idx="0">
                  <c:v>24.75</c:v>
                </c:pt>
                <c:pt idx="1">
                  <c:v>35.75</c:v>
                </c:pt>
                <c:pt idx="2">
                  <c:v>24.75</c:v>
                </c:pt>
                <c:pt idx="3">
                  <c:v>35.75</c:v>
                </c:pt>
                <c:pt idx="4">
                  <c:v>24.75</c:v>
                </c:pt>
                <c:pt idx="5">
                  <c:v>35.75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1A-4CC5-875E-DEF2BA5EECF8}"/>
            </c:ext>
          </c:extLst>
        </c:ser>
        <c:ser>
          <c:idx val="4"/>
          <c:order val="4"/>
          <c:tx>
            <c:strRef>
              <c:f>'Figure 3'!$F$2</c:f>
              <c:strCache>
                <c:ptCount val="1"/>
                <c:pt idx="0">
                  <c:v>10/14/2021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'Figure 3'!$A$3:$A$8</c:f>
              <c:strCache>
                <c:ptCount val="6"/>
                <c:pt idx="0">
                  <c:v>Crude Palm Oil</c:v>
                </c:pt>
                <c:pt idx="1">
                  <c:v>Refined, Bleached and Deodorized Palm Olein</c:v>
                </c:pt>
                <c:pt idx="2">
                  <c:v>Crude Soybean Oil</c:v>
                </c:pt>
                <c:pt idx="3">
                  <c:v>Refined Soybean Oil</c:v>
                </c:pt>
                <c:pt idx="4">
                  <c:v>Crude Sunflower Oil</c:v>
                </c:pt>
                <c:pt idx="5">
                  <c:v>Refined Sunflower Oil</c:v>
                </c:pt>
              </c:strCache>
            </c:strRef>
          </c:cat>
          <c:val>
            <c:numRef>
              <c:f>'Figure 3'!$F$3:$F$8</c:f>
              <c:numCache>
                <c:formatCode>0</c:formatCode>
                <c:ptCount val="6"/>
                <c:pt idx="0">
                  <c:v>8.25</c:v>
                </c:pt>
                <c:pt idx="1">
                  <c:v>19.25</c:v>
                </c:pt>
                <c:pt idx="2">
                  <c:v>5.5</c:v>
                </c:pt>
                <c:pt idx="3">
                  <c:v>19.25</c:v>
                </c:pt>
                <c:pt idx="4">
                  <c:v>5.5</c:v>
                </c:pt>
                <c:pt idx="5">
                  <c:v>19.25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1A-4CC5-875E-DEF2BA5EE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172272"/>
        <c:axId val="667170632"/>
      </c:barChart>
      <c:catAx>
        <c:axId val="66717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0632"/>
        <c:crosses val="autoZero"/>
        <c:auto val="1"/>
        <c:lblAlgn val="ctr"/>
        <c:lblOffset val="100"/>
        <c:noMultiLvlLbl val="0"/>
      </c:catAx>
      <c:valAx>
        <c:axId val="66717063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Percent</a:t>
                </a:r>
              </a:p>
            </c:rich>
          </c:tx>
          <c:layout>
            <c:manualLayout>
              <c:xMode val="edge"/>
              <c:yMode val="edge"/>
              <c:x val="1.2515683601565308E-2"/>
              <c:y val="6.43743938787312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294370180471628"/>
          <c:y val="7.4225786114970937E-2"/>
          <c:w val="0.63411259639056738"/>
          <c:h val="6.51532988523493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 i="0" baseline="0">
                <a:effectLst/>
              </a:rPr>
              <a:t>Indian vegetable oil stocks ending in September</a:t>
            </a:r>
            <a:endParaRPr lang="en-US" sz="1050">
              <a:effectLst/>
            </a:endParaRPr>
          </a:p>
        </c:rich>
      </c:tx>
      <c:layout>
        <c:manualLayout>
          <c:xMode val="edge"/>
          <c:yMode val="edge"/>
          <c:x val="1.4319901188821985E-2"/>
          <c:y val="6.28930817610062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49458449476767E-2"/>
          <c:y val="0.13478224378929379"/>
          <c:w val="0.80411546583610971"/>
          <c:h val="0.63964604558662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4'!$B$1</c:f>
              <c:strCache>
                <c:ptCount val="1"/>
                <c:pt idx="0">
                  <c:v>Stocks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'Figure 4'!$A$2:$A$12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'Figure 4'!$B$2:$B$12</c:f>
              <c:numCache>
                <c:formatCode>_(* #,##0_);_(* \(#,##0\);_(* "-"??_);_(@_)</c:formatCode>
                <c:ptCount val="11"/>
                <c:pt idx="0">
                  <c:v>1568</c:v>
                </c:pt>
                <c:pt idx="1">
                  <c:v>1647</c:v>
                </c:pt>
                <c:pt idx="2">
                  <c:v>1654</c:v>
                </c:pt>
                <c:pt idx="3">
                  <c:v>1929</c:v>
                </c:pt>
                <c:pt idx="4">
                  <c:v>1870</c:v>
                </c:pt>
                <c:pt idx="5">
                  <c:v>2768</c:v>
                </c:pt>
                <c:pt idx="6">
                  <c:v>2565</c:v>
                </c:pt>
                <c:pt idx="7">
                  <c:v>3070</c:v>
                </c:pt>
                <c:pt idx="8">
                  <c:v>2055</c:v>
                </c:pt>
                <c:pt idx="9">
                  <c:v>1694</c:v>
                </c:pt>
                <c:pt idx="10">
                  <c:v>1977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A-434C-AB7A-EC91AA404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172272"/>
        <c:axId val="667170632"/>
      </c:barChart>
      <c:catAx>
        <c:axId val="667172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Marketing year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2835103460904594"/>
              <c:y val="0.880414459808152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6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0632"/>
        <c:crosses val="autoZero"/>
        <c:auto val="1"/>
        <c:lblAlgn val="ctr"/>
        <c:lblOffset val="100"/>
        <c:noMultiLvlLbl val="0"/>
      </c:catAx>
      <c:valAx>
        <c:axId val="667170632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aseline="0"/>
                  <a:t>Thousand metric tons</a:t>
                </a:r>
                <a:endParaRPr lang="en-US" sz="900"/>
              </a:p>
            </c:rich>
          </c:tx>
          <c:layout>
            <c:manualLayout>
              <c:xMode val="edge"/>
              <c:yMode val="edge"/>
              <c:x val="1.2515683601565308E-2"/>
              <c:y val="6.285437921104636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172272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306914</xdr:colOff>
      <xdr:row>0</xdr:row>
      <xdr:rowOff>152399</xdr:rowOff>
    </xdr:from>
    <xdr:to>
      <xdr:col>14</xdr:col>
      <xdr:colOff>315383</xdr:colOff>
      <xdr:row>16</xdr:row>
      <xdr:rowOff>70484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14E9D9-15F9-4687-BA6F-D07839BF2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0.0025</cdr:x>
      <cdr:y>0.9434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7EB422-91AB-4D9B-80EF-FD0714C76DB3}"/>
            </a:ext>
          </a:extLst>
        </cdr:cNvPr>
        <cdr:cNvSpPr txBox="1"/>
      </cdr:nvSpPr>
      <cdr:spPr>
        <a:xfrm xmlns:a="http://schemas.openxmlformats.org/drawingml/2006/main">
          <a:off x="15240" y="3810000"/>
          <a:ext cx="607314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0.9099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E9C5DB4-E169-4932-885B-EC267952B801}"/>
            </a:ext>
          </a:extLst>
        </cdr:cNvPr>
        <cdr:cNvSpPr txBox="1"/>
      </cdr:nvSpPr>
      <cdr:spPr>
        <a:xfrm xmlns:a="http://schemas.openxmlformats.org/drawingml/2006/main">
          <a:off x="0" y="3282987"/>
          <a:ext cx="5897880" cy="325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USDA, Economic Research Service using data from USDA, Foreign Agricultural Service, </a:t>
          </a:r>
          <a:r>
            <a:rPr lang="en-US" sz="900" i="1">
              <a:latin typeface="Arial" panose="020B0604020202020204" pitchFamily="34" charset="0"/>
              <a:cs typeface="Arial" panose="020B0604020202020204" pitchFamily="34" charset="0"/>
            </a:rPr>
            <a:t>Production,</a:t>
          </a:r>
          <a:r>
            <a:rPr lang="en-US" sz="900" i="1" baseline="0">
              <a:latin typeface="Arial" panose="020B0604020202020204" pitchFamily="34" charset="0"/>
              <a:cs typeface="Arial" panose="020B0604020202020204" pitchFamily="34" charset="0"/>
            </a:rPr>
            <a:t> Supply, and Distribution</a:t>
          </a:r>
          <a:r>
            <a:rPr lang="en-US" sz="900" i="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n-US" sz="9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0.0025</cdr:x>
      <cdr:y>0.9434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7EB422-91AB-4D9B-80EF-FD0714C76DB3}"/>
            </a:ext>
          </a:extLst>
        </cdr:cNvPr>
        <cdr:cNvSpPr txBox="1"/>
      </cdr:nvSpPr>
      <cdr:spPr>
        <a:xfrm xmlns:a="http://schemas.openxmlformats.org/drawingml/2006/main">
          <a:off x="15240" y="3810000"/>
          <a:ext cx="607314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0.90091</cdr:y>
    </cdr:from>
    <cdr:to>
      <cdr:x>1</cdr:x>
      <cdr:y>0.98817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E9C5DB4-E169-4932-885B-EC267952B801}"/>
            </a:ext>
          </a:extLst>
        </cdr:cNvPr>
        <cdr:cNvSpPr txBox="1"/>
      </cdr:nvSpPr>
      <cdr:spPr>
        <a:xfrm xmlns:a="http://schemas.openxmlformats.org/drawingml/2006/main">
          <a:off x="0" y="2909017"/>
          <a:ext cx="5913969" cy="2817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USDA, Economic Research Service using data from USDA, National Agricultural Statistics Service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n-US" sz="900" i="1" baseline="0">
              <a:latin typeface="Arial" panose="020B0604020202020204" pitchFamily="34" charset="0"/>
              <a:cs typeface="Arial" panose="020B0604020202020204" pitchFamily="34" charset="0"/>
            </a:rPr>
            <a:t>Crop Progress.</a:t>
          </a:r>
          <a:endParaRPr lang="en-US" sz="9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b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168275</xdr:rowOff>
    </xdr:from>
    <xdr:to>
      <xdr:col>13</xdr:col>
      <xdr:colOff>39243</xdr:colOff>
      <xdr:row>19</xdr:row>
      <xdr:rowOff>80434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89D511-50B7-4E33-8BD2-C444B8C42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0.0025</cdr:x>
      <cdr:y>0.9434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7EB422-91AB-4D9B-80EF-FD0714C76DB3}"/>
            </a:ext>
          </a:extLst>
        </cdr:cNvPr>
        <cdr:cNvSpPr txBox="1"/>
      </cdr:nvSpPr>
      <cdr:spPr>
        <a:xfrm xmlns:a="http://schemas.openxmlformats.org/drawingml/2006/main">
          <a:off x="15240" y="3810000"/>
          <a:ext cx="607314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0.89233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E9C5DB4-E169-4932-885B-EC267952B801}"/>
            </a:ext>
          </a:extLst>
        </cdr:cNvPr>
        <cdr:cNvSpPr txBox="1"/>
      </cdr:nvSpPr>
      <cdr:spPr>
        <a:xfrm xmlns:a="http://schemas.openxmlformats.org/drawingml/2006/main">
          <a:off x="0" y="2955925"/>
          <a:ext cx="5916168" cy="356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Asterisks represent forecasts.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USDA,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World Agricultural Outlook Board, </a:t>
          </a:r>
          <a:r>
            <a:rPr lang="en-US" sz="900" i="1" baseline="0">
              <a:latin typeface="Arial" panose="020B0604020202020204" pitchFamily="34" charset="0"/>
              <a:cs typeface="Arial" panose="020B0604020202020204" pitchFamily="34" charset="0"/>
            </a:rPr>
            <a:t>World Agricultural Supply and Demand Estimates.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267758</xdr:colOff>
      <xdr:row>0</xdr:row>
      <xdr:rowOff>28575</xdr:rowOff>
    </xdr:from>
    <xdr:to>
      <xdr:col>12</xdr:col>
      <xdr:colOff>258233</xdr:colOff>
      <xdr:row>21</xdr:row>
      <xdr:rowOff>102659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8ECD55-6236-4F08-AF35-63B070774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0.0025</cdr:x>
      <cdr:y>0.9434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7EB422-91AB-4D9B-80EF-FD0714C76DB3}"/>
            </a:ext>
          </a:extLst>
        </cdr:cNvPr>
        <cdr:cNvSpPr txBox="1"/>
      </cdr:nvSpPr>
      <cdr:spPr>
        <a:xfrm xmlns:a="http://schemas.openxmlformats.org/drawingml/2006/main">
          <a:off x="15240" y="3810000"/>
          <a:ext cx="607314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0.94041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E9C5DB4-E169-4932-885B-EC267952B801}"/>
            </a:ext>
          </a:extLst>
        </cdr:cNvPr>
        <cdr:cNvSpPr txBox="1"/>
      </cdr:nvSpPr>
      <cdr:spPr>
        <a:xfrm xmlns:a="http://schemas.openxmlformats.org/drawingml/2006/main">
          <a:off x="0" y="3724275"/>
          <a:ext cx="5897880" cy="236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USDA, Economic Research Service using data from The Solvent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Extractor's Association, India</a:t>
          </a:r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439208</xdr:colOff>
      <xdr:row>0</xdr:row>
      <xdr:rowOff>123822</xdr:rowOff>
    </xdr:from>
    <xdr:to>
      <xdr:col>16</xdr:col>
      <xdr:colOff>431588</xdr:colOff>
      <xdr:row>19</xdr:row>
      <xdr:rowOff>156207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9CAA2E-6945-412D-A59A-2AAB33F7C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0.0025</cdr:x>
      <cdr:y>0.9434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7EB422-91AB-4D9B-80EF-FD0714C76DB3}"/>
            </a:ext>
          </a:extLst>
        </cdr:cNvPr>
        <cdr:cNvSpPr txBox="1"/>
      </cdr:nvSpPr>
      <cdr:spPr>
        <a:xfrm xmlns:a="http://schemas.openxmlformats.org/drawingml/2006/main">
          <a:off x="15240" y="3810000"/>
          <a:ext cx="607314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0.93024</cdr:y>
    </cdr:from>
    <cdr:to>
      <cdr:x>1</cdr:x>
      <cdr:y>0.98983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E9C5DB4-E169-4932-885B-EC267952B801}"/>
            </a:ext>
          </a:extLst>
        </cdr:cNvPr>
        <cdr:cNvSpPr txBox="1"/>
      </cdr:nvSpPr>
      <cdr:spPr>
        <a:xfrm xmlns:a="http://schemas.openxmlformats.org/drawingml/2006/main">
          <a:off x="0" y="2613860"/>
          <a:ext cx="5897880" cy="167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USDA, Economic Research Service using data from The Solvent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Extractor's Association, India</a:t>
          </a:r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124883</xdr:colOff>
      <xdr:row>0</xdr:row>
      <xdr:rowOff>0</xdr:rowOff>
    </xdr:from>
    <xdr:to>
      <xdr:col>12</xdr:col>
      <xdr:colOff>326813</xdr:colOff>
      <xdr:row>21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666ADE-C3B8-416A-949A-3E74B48FF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indexed="12"/>
  </sheetPr>
  <dimension ref="A1:C16"/>
  <sheetViews>
    <sheetView tabSelected="1" workbookViewId="0"/>
  </sheetViews>
  <sheetFormatPr defaultColWidth="9.7109375" defaultRowHeight="14.25" x14ac:dyDescent="0.2"/>
  <cols>
    <col min="1" max="1" width="166.85546875" style="14" bestFit="1" customWidth="1"/>
    <col min="2" max="16384" width="9.7109375" style="1"/>
  </cols>
  <sheetData>
    <row r="1" spans="1:3" ht="15" x14ac:dyDescent="0.25">
      <c r="A1" s="9" t="s">
        <v>79</v>
      </c>
    </row>
    <row r="2" spans="1:3" s="2" customFormat="1" x14ac:dyDescent="0.2">
      <c r="A2" s="10"/>
    </row>
    <row r="3" spans="1:3" x14ac:dyDescent="0.2">
      <c r="A3" s="12" t="s">
        <v>122</v>
      </c>
      <c r="B3" s="4"/>
      <c r="C3" s="2"/>
    </row>
    <row r="4" spans="1:3" x14ac:dyDescent="0.2">
      <c r="A4" s="12" t="s">
        <v>113</v>
      </c>
      <c r="B4" s="5"/>
    </row>
    <row r="5" spans="1:3" x14ac:dyDescent="0.2">
      <c r="A5" s="12" t="s">
        <v>114</v>
      </c>
      <c r="B5" s="5"/>
    </row>
    <row r="6" spans="1:3" x14ac:dyDescent="0.2">
      <c r="A6" s="12" t="s">
        <v>115</v>
      </c>
      <c r="B6" s="5"/>
    </row>
    <row r="7" spans="1:3" x14ac:dyDescent="0.2">
      <c r="A7" s="12" t="s">
        <v>116</v>
      </c>
      <c r="B7" s="5"/>
    </row>
    <row r="8" spans="1:3" x14ac:dyDescent="0.2">
      <c r="A8" s="12" t="s">
        <v>117</v>
      </c>
      <c r="B8" s="5"/>
    </row>
    <row r="9" spans="1:3" x14ac:dyDescent="0.2">
      <c r="A9" s="12" t="s">
        <v>118</v>
      </c>
      <c r="B9" s="5"/>
    </row>
    <row r="10" spans="1:3" x14ac:dyDescent="0.2">
      <c r="A10" s="12" t="s">
        <v>119</v>
      </c>
      <c r="B10" s="5"/>
    </row>
    <row r="11" spans="1:3" x14ac:dyDescent="0.2">
      <c r="A11" s="12" t="s">
        <v>120</v>
      </c>
      <c r="B11" s="5"/>
    </row>
    <row r="12" spans="1:3" x14ac:dyDescent="0.2">
      <c r="A12" s="12" t="s">
        <v>121</v>
      </c>
      <c r="B12" s="5"/>
    </row>
    <row r="13" spans="1:3" x14ac:dyDescent="0.2">
      <c r="A13" s="13" t="s">
        <v>133</v>
      </c>
      <c r="B13" s="5"/>
    </row>
    <row r="14" spans="1:3" ht="12.75" x14ac:dyDescent="0.2">
      <c r="A14" s="1"/>
    </row>
    <row r="15" spans="1:3" ht="15" x14ac:dyDescent="0.25">
      <c r="A15" s="9" t="s">
        <v>80</v>
      </c>
      <c r="B15" s="3"/>
    </row>
    <row r="16" spans="1:3" ht="15" x14ac:dyDescent="0.25">
      <c r="A16" s="11">
        <f ca="1">TODAY()</f>
        <v>44510</v>
      </c>
    </row>
  </sheetData>
  <hyperlinks>
    <hyperlink ref="A3" location="'Table 1'!A1" display="Table 1--Soybeans:  Annual U.S. supply and disappearance" xr:uid="{00000000-0004-0000-0000-000000000000}"/>
    <hyperlink ref="A4" location="'Table 2'!A1" display="Table 2--Soybean meal:  U.S. supply and disappearance" xr:uid="{00000000-0004-0000-0000-000001000000}"/>
    <hyperlink ref="A5" location="'Table 3'!A1" display="Table 3--Soybean oil:  U.S. supply and disappearance" xr:uid="{00000000-0004-0000-0000-000002000000}"/>
    <hyperlink ref="A6" location="'Tables 4-7'!A1" display="Table 4--Cottonseed:  U.S. supply and disappearance" xr:uid="{00000000-0004-0000-0000-000003000000}"/>
    <hyperlink ref="A7" location="'Tables 4-7'!A1" display="Table 5--Cottonseed meal:  U.S. supply and disappearance" xr:uid="{00000000-0004-0000-0000-000004000000}"/>
    <hyperlink ref="A8" location="'Tables 4-7'!A1" display="Table 6--Cottonseed oil:  U.S. supply and disappearance" xr:uid="{00000000-0004-0000-0000-000005000000}"/>
    <hyperlink ref="A9" location="'Tables 4-7'!A1" display="Table 7--Peanuts:  U.S. supply and disappearance" xr:uid="{00000000-0004-0000-0000-000006000000}"/>
    <hyperlink ref="A10" location="'Table 8'!A1" display="Table 8--Oilseed prices received by U.S. farmers" xr:uid="{00000000-0004-0000-0000-000007000000}"/>
    <hyperlink ref="A11" location="'Table 9'!A1" display="Table 9--U.S. vegetable oil and fats prices" xr:uid="{00000000-0004-0000-0000-000008000000}"/>
    <hyperlink ref="A12" location="'Table 10'!A1" display="Table 10--U.S. oilseed meal prices " xr:uid="{00000000-0004-0000-0000-000009000000}"/>
  </hyperlinks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A746D-7AA0-4336-B54C-68FB16ED45FB}">
  <dimension ref="A1:C11"/>
  <sheetViews>
    <sheetView zoomScaleNormal="100" workbookViewId="0"/>
  </sheetViews>
  <sheetFormatPr defaultColWidth="9.140625" defaultRowHeight="12.75" x14ac:dyDescent="0.2"/>
  <cols>
    <col min="1" max="1" width="10.42578125" style="141" customWidth="1"/>
    <col min="2" max="2" width="7.42578125" style="141" bestFit="1" customWidth="1"/>
    <col min="3" max="3" width="8.140625" style="141" bestFit="1" customWidth="1"/>
    <col min="4" max="16384" width="9.140625" style="141"/>
  </cols>
  <sheetData>
    <row r="1" spans="1:3" ht="38.25" x14ac:dyDescent="0.2">
      <c r="A1" s="135" t="s">
        <v>136</v>
      </c>
      <c r="B1" s="135" t="s">
        <v>144</v>
      </c>
      <c r="C1" s="135" t="s">
        <v>193</v>
      </c>
    </row>
    <row r="2" spans="1:3" x14ac:dyDescent="0.2">
      <c r="A2" s="150" t="s">
        <v>145</v>
      </c>
      <c r="B2" s="141">
        <v>24.958621588270237</v>
      </c>
      <c r="C2" s="141">
        <v>75.041378411729767</v>
      </c>
    </row>
    <row r="3" spans="1:3" x14ac:dyDescent="0.2">
      <c r="A3" s="151" t="s">
        <v>146</v>
      </c>
      <c r="B3" s="141">
        <v>26.856158898178183</v>
      </c>
      <c r="C3" s="141">
        <v>73.14384110182182</v>
      </c>
    </row>
    <row r="4" spans="1:3" x14ac:dyDescent="0.2">
      <c r="A4" s="151" t="s">
        <v>147</v>
      </c>
      <c r="B4" s="141">
        <v>26.577331563209622</v>
      </c>
      <c r="C4" s="141">
        <v>73.422668436790374</v>
      </c>
    </row>
    <row r="5" spans="1:3" x14ac:dyDescent="0.2">
      <c r="A5" s="151" t="s">
        <v>148</v>
      </c>
      <c r="B5" s="141">
        <v>28.121865008874391</v>
      </c>
      <c r="C5" s="141">
        <v>71.878134991125606</v>
      </c>
    </row>
    <row r="6" spans="1:3" x14ac:dyDescent="0.2">
      <c r="A6" s="151" t="s">
        <v>149</v>
      </c>
      <c r="B6" s="141">
        <v>31.216399385719502</v>
      </c>
      <c r="C6" s="141">
        <v>68.783600614280502</v>
      </c>
    </row>
    <row r="7" spans="1:3" x14ac:dyDescent="0.2">
      <c r="A7" s="151" t="s">
        <v>150</v>
      </c>
      <c r="B7" s="141">
        <v>34.301392697342273</v>
      </c>
      <c r="C7" s="141">
        <v>65.698607302657734</v>
      </c>
    </row>
    <row r="8" spans="1:3" x14ac:dyDescent="0.2">
      <c r="A8" s="151" t="s">
        <v>151</v>
      </c>
      <c r="B8" s="141">
        <v>37.873745459119846</v>
      </c>
      <c r="C8" s="141">
        <v>62.126254540880154</v>
      </c>
    </row>
    <row r="9" spans="1:3" x14ac:dyDescent="0.2">
      <c r="A9" s="151" t="s">
        <v>152</v>
      </c>
      <c r="B9" s="141">
        <v>38.79479656200553</v>
      </c>
      <c r="C9" s="141">
        <v>61.20520343799447</v>
      </c>
    </row>
    <row r="10" spans="1:3" x14ac:dyDescent="0.2">
      <c r="A10" s="151" t="s">
        <v>153</v>
      </c>
      <c r="B10" s="141">
        <v>38.020393654232478</v>
      </c>
      <c r="C10" s="141">
        <v>61.979606345767515</v>
      </c>
    </row>
    <row r="11" spans="1:3" x14ac:dyDescent="0.2">
      <c r="A11" s="152" t="s">
        <v>154</v>
      </c>
      <c r="B11" s="141">
        <v>44</v>
      </c>
      <c r="C11" s="141">
        <v>56.000000000000007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EE89B-BBBD-459A-8FEA-58F14F1A810B}">
  <dimension ref="A1:B48"/>
  <sheetViews>
    <sheetView zoomScaleNormal="100" workbookViewId="0"/>
  </sheetViews>
  <sheetFormatPr defaultColWidth="8.85546875" defaultRowHeight="12.75" x14ac:dyDescent="0.2"/>
  <cols>
    <col min="1" max="1" width="10.42578125" style="136" customWidth="1"/>
    <col min="2" max="2" width="6.7109375" style="136" bestFit="1" customWidth="1"/>
    <col min="3" max="16384" width="8.85546875" style="136"/>
  </cols>
  <sheetData>
    <row r="1" spans="1:2" ht="51" x14ac:dyDescent="0.2">
      <c r="A1" s="135" t="s">
        <v>156</v>
      </c>
      <c r="B1" s="135" t="s">
        <v>155</v>
      </c>
    </row>
    <row r="2" spans="1:2" x14ac:dyDescent="0.2">
      <c r="A2" s="137" t="s">
        <v>157</v>
      </c>
      <c r="B2" s="140">
        <v>774</v>
      </c>
    </row>
    <row r="3" spans="1:2" x14ac:dyDescent="0.2">
      <c r="A3" s="137" t="s">
        <v>158</v>
      </c>
      <c r="B3" s="140">
        <v>873</v>
      </c>
    </row>
    <row r="4" spans="1:2" x14ac:dyDescent="0.2">
      <c r="A4" s="137" t="s">
        <v>159</v>
      </c>
      <c r="B4" s="140">
        <v>974</v>
      </c>
    </row>
    <row r="5" spans="1:2" x14ac:dyDescent="0.2">
      <c r="A5" s="137" t="s">
        <v>160</v>
      </c>
      <c r="B5" s="140">
        <v>1047</v>
      </c>
    </row>
    <row r="6" spans="1:2" x14ac:dyDescent="0.2">
      <c r="A6" s="137" t="s">
        <v>161</v>
      </c>
      <c r="B6" s="140">
        <v>1089</v>
      </c>
    </row>
    <row r="7" spans="1:2" x14ac:dyDescent="0.2">
      <c r="A7" s="137" t="s">
        <v>164</v>
      </c>
      <c r="B7" s="140">
        <v>1126</v>
      </c>
    </row>
    <row r="8" spans="1:2" x14ac:dyDescent="0.2">
      <c r="A8" s="137" t="s">
        <v>165</v>
      </c>
      <c r="B8" s="140">
        <v>1173</v>
      </c>
    </row>
    <row r="9" spans="1:2" x14ac:dyDescent="0.2">
      <c r="A9" s="137" t="s">
        <v>51</v>
      </c>
      <c r="B9" s="140">
        <v>1250</v>
      </c>
    </row>
    <row r="10" spans="1:2" x14ac:dyDescent="0.2">
      <c r="A10" s="137" t="s">
        <v>52</v>
      </c>
      <c r="B10" s="140">
        <v>1075</v>
      </c>
    </row>
    <row r="11" spans="1:2" x14ac:dyDescent="0.2">
      <c r="A11" s="137" t="s">
        <v>54</v>
      </c>
      <c r="B11" s="140">
        <v>1230</v>
      </c>
    </row>
    <row r="12" spans="1:2" x14ac:dyDescent="0.2">
      <c r="A12" s="137" t="s">
        <v>162</v>
      </c>
      <c r="B12" s="138">
        <v>1217</v>
      </c>
    </row>
    <row r="13" spans="1:2" x14ac:dyDescent="0.2">
      <c r="A13" s="137" t="s">
        <v>163</v>
      </c>
      <c r="B13" s="138">
        <v>1240</v>
      </c>
    </row>
    <row r="14" spans="1:2" x14ac:dyDescent="0.2">
      <c r="B14" s="138"/>
    </row>
    <row r="15" spans="1:2" x14ac:dyDescent="0.2">
      <c r="B15" s="138"/>
    </row>
    <row r="16" spans="1:2" x14ac:dyDescent="0.2">
      <c r="B16" s="138"/>
    </row>
    <row r="17" spans="2:2" x14ac:dyDescent="0.2">
      <c r="B17" s="138"/>
    </row>
    <row r="18" spans="2:2" x14ac:dyDescent="0.2">
      <c r="B18" s="138"/>
    </row>
    <row r="19" spans="2:2" x14ac:dyDescent="0.2">
      <c r="B19" s="138"/>
    </row>
    <row r="20" spans="2:2" x14ac:dyDescent="0.2">
      <c r="B20" s="138"/>
    </row>
    <row r="21" spans="2:2" x14ac:dyDescent="0.2">
      <c r="B21" s="139"/>
    </row>
    <row r="22" spans="2:2" x14ac:dyDescent="0.2">
      <c r="B22" s="139"/>
    </row>
    <row r="23" spans="2:2" x14ac:dyDescent="0.2">
      <c r="B23" s="139"/>
    </row>
    <row r="24" spans="2:2" x14ac:dyDescent="0.2">
      <c r="B24" s="139"/>
    </row>
    <row r="25" spans="2:2" x14ac:dyDescent="0.2">
      <c r="B25" s="139"/>
    </row>
    <row r="26" spans="2:2" x14ac:dyDescent="0.2">
      <c r="B26" s="139"/>
    </row>
    <row r="27" spans="2:2" x14ac:dyDescent="0.2">
      <c r="B27" s="139"/>
    </row>
    <row r="28" spans="2:2" x14ac:dyDescent="0.2">
      <c r="B28" s="139"/>
    </row>
    <row r="29" spans="2:2" x14ac:dyDescent="0.2">
      <c r="B29" s="139"/>
    </row>
    <row r="30" spans="2:2" x14ac:dyDescent="0.2">
      <c r="B30" s="139"/>
    </row>
    <row r="31" spans="2:2" x14ac:dyDescent="0.2">
      <c r="B31" s="139"/>
    </row>
    <row r="32" spans="2:2" x14ac:dyDescent="0.2">
      <c r="B32" s="139"/>
    </row>
    <row r="33" spans="2:2" x14ac:dyDescent="0.2">
      <c r="B33" s="139"/>
    </row>
    <row r="34" spans="2:2" x14ac:dyDescent="0.2">
      <c r="B34" s="139"/>
    </row>
    <row r="35" spans="2:2" x14ac:dyDescent="0.2">
      <c r="B35" s="139"/>
    </row>
    <row r="36" spans="2:2" x14ac:dyDescent="0.2">
      <c r="B36" s="139"/>
    </row>
    <row r="37" spans="2:2" x14ac:dyDescent="0.2">
      <c r="B37" s="139"/>
    </row>
    <row r="38" spans="2:2" x14ac:dyDescent="0.2">
      <c r="B38" s="139"/>
    </row>
    <row r="39" spans="2:2" x14ac:dyDescent="0.2">
      <c r="B39" s="139"/>
    </row>
    <row r="40" spans="2:2" x14ac:dyDescent="0.2">
      <c r="B40" s="139"/>
    </row>
    <row r="41" spans="2:2" x14ac:dyDescent="0.2">
      <c r="B41" s="139"/>
    </row>
    <row r="42" spans="2:2" x14ac:dyDescent="0.2">
      <c r="B42" s="139"/>
    </row>
    <row r="43" spans="2:2" x14ac:dyDescent="0.2">
      <c r="B43" s="139"/>
    </row>
    <row r="44" spans="2:2" x14ac:dyDescent="0.2">
      <c r="B44" s="139"/>
    </row>
    <row r="45" spans="2:2" x14ac:dyDescent="0.2">
      <c r="B45" s="139"/>
    </row>
    <row r="46" spans="2:2" x14ac:dyDescent="0.2">
      <c r="B46" s="139"/>
    </row>
    <row r="47" spans="2:2" x14ac:dyDescent="0.2">
      <c r="B47" s="139"/>
    </row>
    <row r="48" spans="2:2" x14ac:dyDescent="0.2">
      <c r="B48" s="139"/>
    </row>
  </sheetData>
  <phoneticPr fontId="33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A50F-AC31-4BD2-A503-268521113808}">
  <dimension ref="A1:F34"/>
  <sheetViews>
    <sheetView zoomScaleNormal="100" workbookViewId="0"/>
  </sheetViews>
  <sheetFormatPr defaultColWidth="8.85546875" defaultRowHeight="12.75" x14ac:dyDescent="0.2"/>
  <cols>
    <col min="1" max="1" width="40.140625" style="136" bestFit="1" customWidth="1"/>
    <col min="2" max="2" width="8.140625" style="136" bestFit="1" customWidth="1"/>
    <col min="3" max="5" width="9.140625" style="136" bestFit="1" customWidth="1"/>
    <col min="6" max="6" width="10.140625" style="136" bestFit="1" customWidth="1"/>
    <col min="7" max="16384" width="8.85546875" style="136"/>
  </cols>
  <sheetData>
    <row r="1" spans="1:6" x14ac:dyDescent="0.2">
      <c r="B1" s="158" t="s">
        <v>179</v>
      </c>
      <c r="C1" s="159"/>
      <c r="D1" s="159"/>
      <c r="E1" s="159"/>
      <c r="F1" s="159"/>
    </row>
    <row r="2" spans="1:6" x14ac:dyDescent="0.2">
      <c r="A2" s="155" t="s">
        <v>166</v>
      </c>
      <c r="B2" s="157" t="s">
        <v>172</v>
      </c>
      <c r="C2" s="157" t="s">
        <v>173</v>
      </c>
      <c r="D2" s="157" t="s">
        <v>174</v>
      </c>
      <c r="E2" s="157" t="s">
        <v>175</v>
      </c>
      <c r="F2" s="160" t="s">
        <v>176</v>
      </c>
    </row>
    <row r="3" spans="1:6" x14ac:dyDescent="0.2">
      <c r="A3" t="s">
        <v>167</v>
      </c>
      <c r="B3" s="163">
        <v>37.549999999999997</v>
      </c>
      <c r="C3" s="163">
        <v>30.25</v>
      </c>
      <c r="D3" s="163">
        <v>30.25</v>
      </c>
      <c r="E3" s="163">
        <v>24.75</v>
      </c>
      <c r="F3" s="163">
        <v>8.25</v>
      </c>
    </row>
    <row r="4" spans="1:6" x14ac:dyDescent="0.2">
      <c r="A4" s="141" t="s">
        <v>198</v>
      </c>
      <c r="B4" s="163">
        <v>49.5</v>
      </c>
      <c r="C4" s="163">
        <v>41.25</v>
      </c>
      <c r="D4" s="163">
        <v>41.25</v>
      </c>
      <c r="E4" s="163">
        <v>35.75</v>
      </c>
      <c r="F4" s="163">
        <v>19.25</v>
      </c>
    </row>
    <row r="5" spans="1:6" x14ac:dyDescent="0.2">
      <c r="A5" t="s">
        <v>168</v>
      </c>
      <c r="B5" s="163">
        <v>38.5</v>
      </c>
      <c r="C5" s="163">
        <v>38.5</v>
      </c>
      <c r="D5" s="163">
        <v>30.25</v>
      </c>
      <c r="E5" s="163">
        <v>24.75</v>
      </c>
      <c r="F5" s="163">
        <v>5.5</v>
      </c>
    </row>
    <row r="6" spans="1:6" x14ac:dyDescent="0.2">
      <c r="A6" t="s">
        <v>169</v>
      </c>
      <c r="B6" s="163">
        <v>49.5</v>
      </c>
      <c r="C6" s="163">
        <v>49.5</v>
      </c>
      <c r="D6" s="163">
        <v>41.25</v>
      </c>
      <c r="E6" s="163">
        <v>35.75</v>
      </c>
      <c r="F6" s="163">
        <v>19.25</v>
      </c>
    </row>
    <row r="7" spans="1:6" x14ac:dyDescent="0.2">
      <c r="A7" t="s">
        <v>170</v>
      </c>
      <c r="B7" s="163">
        <v>38.5</v>
      </c>
      <c r="C7" s="163">
        <v>38.5</v>
      </c>
      <c r="D7" s="163">
        <v>30.25</v>
      </c>
      <c r="E7" s="163">
        <v>24.75</v>
      </c>
      <c r="F7" s="163">
        <v>5.5</v>
      </c>
    </row>
    <row r="8" spans="1:6" x14ac:dyDescent="0.2">
      <c r="A8" t="s">
        <v>171</v>
      </c>
      <c r="B8" s="163">
        <v>49.5</v>
      </c>
      <c r="C8" s="163">
        <v>49.5</v>
      </c>
      <c r="D8" s="163">
        <v>41.25</v>
      </c>
      <c r="E8" s="163">
        <v>35.75</v>
      </c>
      <c r="F8" s="163">
        <v>19.25</v>
      </c>
    </row>
    <row r="9" spans="1:6" x14ac:dyDescent="0.2">
      <c r="B9" s="139"/>
      <c r="C9" s="138"/>
      <c r="D9" s="138"/>
    </row>
    <row r="10" spans="1:6" x14ac:dyDescent="0.2">
      <c r="B10" s="139"/>
      <c r="C10" s="139"/>
      <c r="D10" s="139"/>
    </row>
    <row r="11" spans="1:6" x14ac:dyDescent="0.2">
      <c r="B11" s="139"/>
      <c r="C11" s="139"/>
      <c r="D11" s="139"/>
    </row>
    <row r="12" spans="1:6" x14ac:dyDescent="0.2">
      <c r="B12" s="139"/>
      <c r="C12" s="139"/>
      <c r="D12" s="139"/>
    </row>
    <row r="13" spans="1:6" x14ac:dyDescent="0.2">
      <c r="B13" s="139"/>
      <c r="C13" s="139"/>
      <c r="D13" s="139"/>
    </row>
    <row r="14" spans="1:6" x14ac:dyDescent="0.2">
      <c r="B14" s="139"/>
      <c r="C14" s="139"/>
      <c r="D14" s="139"/>
    </row>
    <row r="15" spans="1:6" x14ac:dyDescent="0.2">
      <c r="B15" s="139"/>
      <c r="C15" s="139"/>
      <c r="D15" s="139"/>
    </row>
    <row r="16" spans="1:6" x14ac:dyDescent="0.2">
      <c r="B16" s="139"/>
      <c r="C16" s="139"/>
      <c r="D16" s="139"/>
    </row>
    <row r="17" spans="2:4" x14ac:dyDescent="0.2">
      <c r="B17" s="139"/>
      <c r="C17" s="139"/>
      <c r="D17" s="139"/>
    </row>
    <row r="18" spans="2:4" x14ac:dyDescent="0.2">
      <c r="B18" s="139"/>
      <c r="C18" s="139"/>
      <c r="D18" s="139"/>
    </row>
    <row r="19" spans="2:4" x14ac:dyDescent="0.2">
      <c r="B19" s="139"/>
      <c r="C19" s="139"/>
      <c r="D19" s="139"/>
    </row>
    <row r="20" spans="2:4" x14ac:dyDescent="0.2">
      <c r="B20" s="139"/>
      <c r="C20" s="139"/>
      <c r="D20" s="139"/>
    </row>
    <row r="21" spans="2:4" x14ac:dyDescent="0.2">
      <c r="B21" s="139"/>
      <c r="C21" s="139"/>
      <c r="D21" s="139"/>
    </row>
    <row r="22" spans="2:4" x14ac:dyDescent="0.2">
      <c r="B22" s="139"/>
      <c r="C22" s="139"/>
      <c r="D22" s="139"/>
    </row>
    <row r="23" spans="2:4" x14ac:dyDescent="0.2">
      <c r="B23" s="139"/>
      <c r="C23" s="139"/>
      <c r="D23" s="139"/>
    </row>
    <row r="24" spans="2:4" x14ac:dyDescent="0.2">
      <c r="B24" s="139"/>
      <c r="C24" s="139"/>
      <c r="D24" s="139"/>
    </row>
    <row r="25" spans="2:4" x14ac:dyDescent="0.2">
      <c r="B25" s="139"/>
      <c r="C25" s="139"/>
      <c r="D25" s="139"/>
    </row>
    <row r="26" spans="2:4" x14ac:dyDescent="0.2">
      <c r="B26" s="139"/>
      <c r="C26" s="139"/>
      <c r="D26" s="139"/>
    </row>
    <row r="27" spans="2:4" x14ac:dyDescent="0.2">
      <c r="B27" s="139"/>
      <c r="C27" s="139"/>
      <c r="D27" s="139"/>
    </row>
    <row r="28" spans="2:4" x14ac:dyDescent="0.2">
      <c r="B28" s="139"/>
      <c r="C28" s="139"/>
      <c r="D28" s="139"/>
    </row>
    <row r="29" spans="2:4" x14ac:dyDescent="0.2">
      <c r="B29" s="139"/>
      <c r="C29" s="139"/>
      <c r="D29" s="139"/>
    </row>
    <row r="30" spans="2:4" x14ac:dyDescent="0.2">
      <c r="B30" s="139"/>
      <c r="C30" s="139"/>
      <c r="D30" s="139"/>
    </row>
    <row r="31" spans="2:4" x14ac:dyDescent="0.2">
      <c r="B31" s="139"/>
      <c r="C31" s="139"/>
      <c r="D31" s="139"/>
    </row>
    <row r="32" spans="2:4" x14ac:dyDescent="0.2">
      <c r="B32" s="139"/>
      <c r="C32" s="139"/>
      <c r="D32" s="139"/>
    </row>
    <row r="33" spans="2:4" x14ac:dyDescent="0.2">
      <c r="B33" s="139"/>
      <c r="C33" s="139"/>
      <c r="D33" s="139"/>
    </row>
    <row r="34" spans="2:4" x14ac:dyDescent="0.2">
      <c r="B34" s="139"/>
      <c r="C34" s="139"/>
      <c r="D34" s="139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25455-612E-4831-9A7E-23C9C1193085}">
  <dimension ref="A1:L37"/>
  <sheetViews>
    <sheetView zoomScaleNormal="100" workbookViewId="0"/>
  </sheetViews>
  <sheetFormatPr defaultColWidth="8.85546875" defaultRowHeight="12.75" x14ac:dyDescent="0.2"/>
  <cols>
    <col min="1" max="1" width="10.42578125" style="136" customWidth="1"/>
    <col min="2" max="2" width="6.85546875" style="136" bestFit="1" customWidth="1"/>
    <col min="3" max="3" width="7.28515625" style="136" bestFit="1" customWidth="1"/>
    <col min="4" max="4" width="7.28515625" style="136" customWidth="1"/>
    <col min="5" max="16384" width="8.85546875" style="136"/>
  </cols>
  <sheetData>
    <row r="1" spans="1:12" ht="25.5" x14ac:dyDescent="0.2">
      <c r="A1" s="135" t="s">
        <v>136</v>
      </c>
      <c r="B1" s="157" t="s">
        <v>177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x14ac:dyDescent="0.2">
      <c r="A2" s="154" t="s">
        <v>43</v>
      </c>
      <c r="B2" s="156">
        <v>1568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x14ac:dyDescent="0.2">
      <c r="A3" s="154" t="s">
        <v>53</v>
      </c>
      <c r="B3" s="156">
        <v>1647</v>
      </c>
      <c r="C3" s="138"/>
      <c r="D3" s="138"/>
    </row>
    <row r="4" spans="1:12" x14ac:dyDescent="0.2">
      <c r="A4" s="154" t="s">
        <v>65</v>
      </c>
      <c r="B4" s="156">
        <v>1654</v>
      </c>
      <c r="C4" s="138"/>
      <c r="D4" s="138"/>
    </row>
    <row r="5" spans="1:12" x14ac:dyDescent="0.2">
      <c r="A5" s="154" t="s">
        <v>71</v>
      </c>
      <c r="B5" s="156">
        <v>1929</v>
      </c>
      <c r="C5" s="138"/>
      <c r="D5" s="138"/>
    </row>
    <row r="6" spans="1:12" x14ac:dyDescent="0.2">
      <c r="A6" s="154" t="s">
        <v>73</v>
      </c>
      <c r="B6" s="156">
        <v>1870</v>
      </c>
      <c r="C6" s="138"/>
      <c r="D6" s="138"/>
    </row>
    <row r="7" spans="1:12" x14ac:dyDescent="0.2">
      <c r="A7" s="154" t="s">
        <v>74</v>
      </c>
      <c r="B7" s="156">
        <v>2768</v>
      </c>
      <c r="C7" s="138"/>
      <c r="D7" s="138"/>
    </row>
    <row r="8" spans="1:12" x14ac:dyDescent="0.2">
      <c r="A8" s="154" t="s">
        <v>77</v>
      </c>
      <c r="B8" s="156">
        <v>2565</v>
      </c>
      <c r="C8" s="138"/>
      <c r="D8" s="138"/>
    </row>
    <row r="9" spans="1:12" x14ac:dyDescent="0.2">
      <c r="A9" s="154" t="s">
        <v>78</v>
      </c>
      <c r="B9" s="156">
        <v>3070</v>
      </c>
      <c r="C9" s="138"/>
      <c r="D9" s="138"/>
    </row>
    <row r="10" spans="1:12" x14ac:dyDescent="0.2">
      <c r="A10" s="154" t="s">
        <v>98</v>
      </c>
      <c r="B10" s="156">
        <v>2055</v>
      </c>
      <c r="C10" s="139"/>
      <c r="D10" s="139"/>
    </row>
    <row r="11" spans="1:12" x14ac:dyDescent="0.2">
      <c r="A11" s="154" t="s">
        <v>100</v>
      </c>
      <c r="B11" s="156">
        <v>1694</v>
      </c>
      <c r="C11" s="139"/>
      <c r="D11" s="139"/>
    </row>
    <row r="12" spans="1:12" x14ac:dyDescent="0.2">
      <c r="A12" s="154" t="s">
        <v>103</v>
      </c>
      <c r="B12" s="156">
        <v>1977</v>
      </c>
      <c r="C12" s="139"/>
      <c r="D12" s="139"/>
    </row>
    <row r="13" spans="1:12" x14ac:dyDescent="0.2">
      <c r="C13" s="139"/>
      <c r="D13" s="139"/>
    </row>
    <row r="14" spans="1:12" x14ac:dyDescent="0.2">
      <c r="B14" s="139"/>
      <c r="C14" s="139"/>
      <c r="D14" s="139"/>
    </row>
    <row r="15" spans="1:12" x14ac:dyDescent="0.2">
      <c r="B15" s="139"/>
      <c r="C15" s="139"/>
      <c r="D15" s="139"/>
    </row>
    <row r="16" spans="1:12" x14ac:dyDescent="0.2">
      <c r="B16" s="139"/>
      <c r="C16" s="139"/>
      <c r="D16" s="139"/>
    </row>
    <row r="17" spans="2:4" x14ac:dyDescent="0.2">
      <c r="B17" s="139"/>
      <c r="C17" s="139"/>
      <c r="D17" s="139"/>
    </row>
    <row r="18" spans="2:4" x14ac:dyDescent="0.2">
      <c r="B18" s="139"/>
      <c r="C18" s="139"/>
      <c r="D18" s="139"/>
    </row>
    <row r="19" spans="2:4" x14ac:dyDescent="0.2">
      <c r="B19" s="139"/>
      <c r="C19" s="139"/>
      <c r="D19" s="139"/>
    </row>
    <row r="20" spans="2:4" x14ac:dyDescent="0.2">
      <c r="B20" s="139"/>
      <c r="C20" s="139"/>
      <c r="D20" s="139"/>
    </row>
    <row r="21" spans="2:4" x14ac:dyDescent="0.2">
      <c r="B21" s="139"/>
      <c r="C21" s="139"/>
      <c r="D21" s="139"/>
    </row>
    <row r="22" spans="2:4" x14ac:dyDescent="0.2">
      <c r="B22" s="139"/>
      <c r="C22" s="139"/>
      <c r="D22" s="139"/>
    </row>
    <row r="23" spans="2:4" x14ac:dyDescent="0.2">
      <c r="B23" s="139"/>
      <c r="C23" s="139"/>
      <c r="D23" s="139"/>
    </row>
    <row r="24" spans="2:4" x14ac:dyDescent="0.2">
      <c r="B24" s="139"/>
      <c r="C24" s="139"/>
      <c r="D24" s="139"/>
    </row>
    <row r="25" spans="2:4" x14ac:dyDescent="0.2">
      <c r="B25" s="139"/>
      <c r="C25" s="139"/>
      <c r="D25" s="139"/>
    </row>
    <row r="26" spans="2:4" x14ac:dyDescent="0.2">
      <c r="B26" s="139"/>
      <c r="C26" s="139"/>
      <c r="D26" s="139"/>
    </row>
    <row r="27" spans="2:4" x14ac:dyDescent="0.2">
      <c r="B27" s="139"/>
      <c r="C27" s="139"/>
      <c r="D27" s="139"/>
    </row>
    <row r="28" spans="2:4" x14ac:dyDescent="0.2">
      <c r="B28" s="139"/>
      <c r="C28" s="139"/>
      <c r="D28" s="139"/>
    </row>
    <row r="29" spans="2:4" x14ac:dyDescent="0.2">
      <c r="B29" s="139"/>
      <c r="C29" s="139"/>
      <c r="D29" s="139"/>
    </row>
    <row r="30" spans="2:4" x14ac:dyDescent="0.2">
      <c r="B30" s="139"/>
      <c r="C30" s="139"/>
      <c r="D30" s="139"/>
    </row>
    <row r="31" spans="2:4" x14ac:dyDescent="0.2">
      <c r="B31" s="139"/>
      <c r="C31" s="139"/>
      <c r="D31" s="139"/>
    </row>
    <row r="32" spans="2:4" x14ac:dyDescent="0.2">
      <c r="B32" s="139"/>
      <c r="C32" s="139"/>
      <c r="D32" s="139"/>
    </row>
    <row r="33" spans="2:4" x14ac:dyDescent="0.2">
      <c r="B33" s="139"/>
      <c r="C33" s="139"/>
      <c r="D33" s="139"/>
    </row>
    <row r="34" spans="2:4" x14ac:dyDescent="0.2">
      <c r="B34" s="139"/>
      <c r="C34" s="139"/>
      <c r="D34" s="139"/>
    </row>
    <row r="35" spans="2:4" x14ac:dyDescent="0.2">
      <c r="B35" s="139"/>
      <c r="C35" s="139"/>
      <c r="D35" s="139"/>
    </row>
    <row r="36" spans="2:4" x14ac:dyDescent="0.2">
      <c r="B36" s="139"/>
      <c r="C36" s="139"/>
      <c r="D36" s="139"/>
    </row>
    <row r="37" spans="2:4" x14ac:dyDescent="0.2">
      <c r="B37" s="139"/>
      <c r="C37" s="139"/>
      <c r="D37" s="139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BU532"/>
  <sheetViews>
    <sheetView showGridLines="0" zoomScale="70" zoomScaleNormal="70" workbookViewId="0"/>
  </sheetViews>
  <sheetFormatPr defaultColWidth="9.140625" defaultRowHeight="12.75" x14ac:dyDescent="0.2"/>
  <cols>
    <col min="1" max="1" width="21.7109375" style="19" customWidth="1"/>
    <col min="2" max="2" width="14.140625" style="19" bestFit="1" customWidth="1"/>
    <col min="3" max="3" width="9.5703125" style="19" customWidth="1"/>
    <col min="4" max="4" width="26.7109375" style="19" customWidth="1"/>
    <col min="5" max="5" width="9.7109375" style="19" customWidth="1"/>
    <col min="6" max="6" width="10.7109375" style="19" customWidth="1"/>
    <col min="7" max="7" width="8.7109375" style="19" bestFit="1" customWidth="1"/>
    <col min="8" max="8" width="9.7109375" style="19" customWidth="1"/>
    <col min="9" max="9" width="1.7109375" style="19" customWidth="1"/>
    <col min="10" max="10" width="9.7109375" style="19" customWidth="1"/>
    <col min="11" max="12" width="10.7109375" style="19" customWidth="1"/>
    <col min="13" max="13" width="10.28515625" style="19" customWidth="1"/>
    <col min="14" max="14" width="9.7109375" style="19" customWidth="1"/>
    <col min="15" max="16" width="9.140625" style="19"/>
    <col min="17" max="17" width="15.42578125" style="19" bestFit="1" customWidth="1"/>
    <col min="18" max="18" width="10.140625" style="19" bestFit="1" customWidth="1"/>
    <col min="19" max="16384" width="9.140625" style="19"/>
  </cols>
  <sheetData>
    <row r="1" spans="1:23" ht="14.25" x14ac:dyDescent="0.2">
      <c r="A1" s="18" t="s">
        <v>122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23" ht="14.25" x14ac:dyDescent="0.2">
      <c r="A2" s="20"/>
      <c r="B2" s="21" t="s">
        <v>19</v>
      </c>
      <c r="C2" s="55"/>
      <c r="D2" s="22" t="s">
        <v>22</v>
      </c>
      <c r="E2" s="23"/>
      <c r="F2" s="55" t="s">
        <v>66</v>
      </c>
      <c r="G2" s="55"/>
      <c r="H2" s="55"/>
      <c r="I2" s="24"/>
      <c r="J2" s="23"/>
      <c r="K2" s="55"/>
      <c r="L2" s="25" t="s">
        <v>56</v>
      </c>
      <c r="M2" s="55"/>
      <c r="N2" s="20"/>
    </row>
    <row r="3" spans="1:23" ht="14.25" x14ac:dyDescent="0.2">
      <c r="A3" s="20" t="s">
        <v>60</v>
      </c>
      <c r="B3" s="22" t="s">
        <v>20</v>
      </c>
      <c r="C3" s="20" t="s">
        <v>21</v>
      </c>
      <c r="D3" s="22"/>
      <c r="E3" s="26" t="s">
        <v>8</v>
      </c>
      <c r="F3" s="26"/>
      <c r="G3" s="26"/>
      <c r="H3" s="26"/>
      <c r="I3" s="26"/>
      <c r="J3" s="22" t="s">
        <v>58</v>
      </c>
      <c r="K3" s="26" t="s">
        <v>72</v>
      </c>
      <c r="L3" s="26"/>
      <c r="M3" s="26"/>
      <c r="N3" s="26" t="s">
        <v>6</v>
      </c>
    </row>
    <row r="4" spans="1:23" ht="14.25" x14ac:dyDescent="0.2">
      <c r="A4" s="27" t="s">
        <v>63</v>
      </c>
      <c r="B4" s="28"/>
      <c r="C4" s="28"/>
      <c r="D4" s="28"/>
      <c r="E4" s="29" t="s">
        <v>7</v>
      </c>
      <c r="F4" s="29" t="s">
        <v>1</v>
      </c>
      <c r="G4" s="30" t="s">
        <v>2</v>
      </c>
      <c r="H4" s="31" t="s">
        <v>3</v>
      </c>
      <c r="I4" s="30"/>
      <c r="J4" s="30"/>
      <c r="K4" s="30" t="s">
        <v>137</v>
      </c>
      <c r="L4" s="31" t="s">
        <v>4</v>
      </c>
      <c r="M4" s="29" t="s">
        <v>3</v>
      </c>
      <c r="N4" s="30" t="s">
        <v>7</v>
      </c>
      <c r="W4" s="32"/>
    </row>
    <row r="5" spans="1:23" ht="14.25" x14ac:dyDescent="0.2">
      <c r="A5" s="20"/>
      <c r="B5" s="33" t="s">
        <v>67</v>
      </c>
      <c r="C5" s="56"/>
      <c r="D5" s="34" t="s">
        <v>105</v>
      </c>
      <c r="G5" s="33"/>
      <c r="I5" s="33"/>
      <c r="J5" s="33" t="s">
        <v>99</v>
      </c>
      <c r="K5" s="33"/>
      <c r="L5" s="33"/>
      <c r="M5" s="33"/>
      <c r="N5" s="33"/>
      <c r="W5" s="32"/>
    </row>
    <row r="6" spans="1:23" ht="16.5" customHeight="1" x14ac:dyDescent="0.2">
      <c r="A6" s="20" t="s">
        <v>100</v>
      </c>
      <c r="B6" s="35">
        <v>76.099999999999994</v>
      </c>
      <c r="C6" s="35">
        <v>74.938999999999993</v>
      </c>
      <c r="D6" s="35">
        <f>F6/C6</f>
        <v>47.397323156167019</v>
      </c>
      <c r="E6" s="36">
        <v>909</v>
      </c>
      <c r="F6" s="37">
        <v>3551.9079999999999</v>
      </c>
      <c r="G6" s="38">
        <v>15.380623192800002</v>
      </c>
      <c r="H6" s="38">
        <f>SUM(E6:G6)</f>
        <v>4476.2886231927996</v>
      </c>
      <c r="I6" s="37" t="e">
        <f>#REF!</f>
        <v>#REF!</v>
      </c>
      <c r="J6" s="37">
        <v>2164.571916009776</v>
      </c>
      <c r="K6" s="37">
        <f>M6-L6-J6</f>
        <v>107.92510436542307</v>
      </c>
      <c r="L6" s="38">
        <v>1679.2506028176001</v>
      </c>
      <c r="M6" s="38">
        <f>H6-N6</f>
        <v>3951.7476231927994</v>
      </c>
      <c r="N6" s="38">
        <v>524.54100000000017</v>
      </c>
    </row>
    <row r="7" spans="1:23" ht="16.5" customHeight="1" x14ac:dyDescent="0.2">
      <c r="A7" s="20" t="s">
        <v>101</v>
      </c>
      <c r="B7" s="35">
        <v>83.353999999999999</v>
      </c>
      <c r="C7" s="35">
        <v>82.602999999999994</v>
      </c>
      <c r="D7" s="35">
        <f>F7/C7</f>
        <v>51.042964541239421</v>
      </c>
      <c r="E7" s="36">
        <f>N6</f>
        <v>524.54100000000017</v>
      </c>
      <c r="F7" s="37">
        <f>F28</f>
        <v>4216.3019999999997</v>
      </c>
      <c r="G7" s="38">
        <f>G28</f>
        <v>19.838438342399996</v>
      </c>
      <c r="H7" s="38">
        <f>SUM(E7:G7)</f>
        <v>4760.6814383423998</v>
      </c>
      <c r="I7" s="20"/>
      <c r="J7" s="37">
        <f>J28</f>
        <v>2140.6021535309255</v>
      </c>
      <c r="K7" s="37">
        <f t="shared" ref="K7:K8" si="0">M7-L7-J7</f>
        <v>98.451103312274427</v>
      </c>
      <c r="L7" s="38">
        <f>L28</f>
        <v>2265.4491814991998</v>
      </c>
      <c r="M7" s="38">
        <f>H7-N7</f>
        <v>4504.5024383423997</v>
      </c>
      <c r="N7" s="38">
        <f>N27</f>
        <v>256.17899999999997</v>
      </c>
    </row>
    <row r="8" spans="1:23" ht="16.5" customHeight="1" x14ac:dyDescent="0.2">
      <c r="A8" s="20" t="s">
        <v>126</v>
      </c>
      <c r="B8" s="35">
        <v>87.234999999999999</v>
      </c>
      <c r="C8" s="35">
        <v>86.436000000000007</v>
      </c>
      <c r="D8" s="35">
        <f>F8/C8</f>
        <v>51.193275949835716</v>
      </c>
      <c r="E8" s="36">
        <f>N7</f>
        <v>256.17899999999997</v>
      </c>
      <c r="F8" s="37">
        <v>4424.942</v>
      </c>
      <c r="G8" s="38">
        <v>15</v>
      </c>
      <c r="H8" s="38">
        <f>SUM(E8:G8)</f>
        <v>4696.1210000000001</v>
      </c>
      <c r="I8" s="20"/>
      <c r="J8" s="37">
        <v>2190</v>
      </c>
      <c r="K8" s="37">
        <f t="shared" si="0"/>
        <v>116.22100000000046</v>
      </c>
      <c r="L8" s="38">
        <v>2050</v>
      </c>
      <c r="M8" s="38">
        <f>H8-N8</f>
        <v>4356.2210000000005</v>
      </c>
      <c r="N8" s="38">
        <v>339.9</v>
      </c>
    </row>
    <row r="9" spans="1:23" ht="16.5" customHeight="1" x14ac:dyDescent="0.2">
      <c r="A9" s="24"/>
      <c r="B9" s="24"/>
      <c r="C9" s="24"/>
      <c r="D9" s="24"/>
      <c r="E9" s="39"/>
      <c r="F9" s="39"/>
      <c r="G9" s="40"/>
      <c r="H9" s="39"/>
      <c r="I9" s="39"/>
      <c r="J9" s="40"/>
      <c r="K9" s="40"/>
      <c r="L9" s="40"/>
      <c r="M9" s="40"/>
      <c r="N9" s="40"/>
    </row>
    <row r="10" spans="1:23" ht="16.5" customHeight="1" x14ac:dyDescent="0.2">
      <c r="A10" s="24" t="s">
        <v>106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41"/>
    </row>
    <row r="11" spans="1:23" ht="16.5" customHeight="1" x14ac:dyDescent="0.25">
      <c r="A11" s="42" t="s">
        <v>103</v>
      </c>
      <c r="B11" s="43"/>
      <c r="C11" s="43"/>
      <c r="D11" s="43"/>
      <c r="E11" s="45"/>
      <c r="F11" s="46"/>
      <c r="G11" s="8"/>
      <c r="H11" s="15"/>
      <c r="I11" s="43"/>
      <c r="J11" s="15"/>
      <c r="K11" s="47"/>
      <c r="L11" s="8"/>
      <c r="M11" s="8"/>
      <c r="N11" s="15"/>
    </row>
    <row r="12" spans="1:23" ht="16.5" customHeight="1" x14ac:dyDescent="0.2">
      <c r="A12" s="24" t="s">
        <v>57</v>
      </c>
      <c r="B12" s="43"/>
      <c r="C12" s="43"/>
      <c r="D12" s="43"/>
      <c r="E12" s="45"/>
      <c r="F12" s="46"/>
      <c r="G12" s="8">
        <f>(44527.6*36.744)/1000000</f>
        <v>1.6361221343999999</v>
      </c>
      <c r="I12" s="43"/>
      <c r="J12" s="15">
        <f>((5131665*0.907185)*36.744)/1000000</f>
        <v>171.05689738659061</v>
      </c>
      <c r="K12" s="44"/>
      <c r="L12" s="8">
        <f>(7191284.4*36.744)/1000000</f>
        <v>264.23655399360001</v>
      </c>
      <c r="M12" s="8"/>
      <c r="N12" s="15"/>
    </row>
    <row r="13" spans="1:23" ht="16.5" customHeight="1" x14ac:dyDescent="0.2">
      <c r="A13" s="24" t="s">
        <v>44</v>
      </c>
      <c r="B13" s="43"/>
      <c r="C13" s="43"/>
      <c r="D13" s="43"/>
      <c r="E13" s="48"/>
      <c r="F13" s="46"/>
      <c r="G13" s="8">
        <f>(24879.1*36.744)/1000000</f>
        <v>0.91415765039999997</v>
      </c>
      <c r="I13" s="43"/>
      <c r="J13" s="15">
        <f>((5897079*0.907185)*36.744)/1000000</f>
        <v>196.57090581392558</v>
      </c>
      <c r="K13" s="44"/>
      <c r="L13" s="8">
        <f>(11636404.4*36.744)/1000000</f>
        <v>427.56804327359998</v>
      </c>
      <c r="M13" s="8"/>
      <c r="N13" s="15"/>
    </row>
    <row r="14" spans="1:23" ht="16.5" customHeight="1" x14ac:dyDescent="0.2">
      <c r="A14" s="24" t="s">
        <v>45</v>
      </c>
      <c r="B14" s="43"/>
      <c r="C14" s="43"/>
      <c r="D14" s="43"/>
      <c r="E14" s="48"/>
      <c r="F14" s="46"/>
      <c r="G14" s="8">
        <f>(12431.7*36.744)/1000000</f>
        <v>0.4567903848</v>
      </c>
      <c r="I14" s="43"/>
      <c r="J14" s="15">
        <f>((5731207*0.907185)*36.744)/1000000</f>
        <v>191.04179397920748</v>
      </c>
      <c r="K14" s="44"/>
      <c r="L14" s="8">
        <f>(10867331.6*36.744)/1000000</f>
        <v>399.30923231040003</v>
      </c>
      <c r="M14" s="8"/>
      <c r="N14" s="15"/>
    </row>
    <row r="15" spans="1:23" ht="16.5" customHeight="1" x14ac:dyDescent="0.2">
      <c r="A15" s="24" t="s">
        <v>138</v>
      </c>
      <c r="B15" s="43"/>
      <c r="C15" s="43"/>
      <c r="D15" s="43"/>
      <c r="E15" s="45">
        <f>N6</f>
        <v>524.54100000000017</v>
      </c>
      <c r="F15" s="46">
        <v>4216.3019999999997</v>
      </c>
      <c r="G15" s="8">
        <f>G12+G13+G14</f>
        <v>3.0070701696</v>
      </c>
      <c r="H15" s="15">
        <f>E15+F15+G15</f>
        <v>4743.8500701696003</v>
      </c>
      <c r="I15" s="43"/>
      <c r="J15" s="15">
        <f>J12+J13+J14</f>
        <v>558.66959717972361</v>
      </c>
      <c r="K15" s="44">
        <f>M15-L15-J15</f>
        <v>147.32664341227689</v>
      </c>
      <c r="L15" s="8">
        <f>L12+L13+L14</f>
        <v>1091.1138295776</v>
      </c>
      <c r="M15" s="8">
        <f>H15-N15</f>
        <v>1797.1100701696005</v>
      </c>
      <c r="N15" s="15">
        <v>2946.74</v>
      </c>
    </row>
    <row r="16" spans="1:23" ht="16.899999999999999" customHeight="1" x14ac:dyDescent="0.2">
      <c r="A16" s="20" t="s">
        <v>46</v>
      </c>
      <c r="B16" s="43"/>
      <c r="C16" s="43"/>
      <c r="D16" s="43"/>
      <c r="E16" s="45"/>
      <c r="F16" s="8"/>
      <c r="G16" s="8">
        <f>(23426.8*36.744)/1000000</f>
        <v>0.86079433919999992</v>
      </c>
      <c r="H16" s="15"/>
      <c r="I16" s="43"/>
      <c r="J16" s="15">
        <f>((5794233*0.907185)*36.744)/1000000</f>
        <v>193.14267780827416</v>
      </c>
      <c r="K16" s="44"/>
      <c r="L16" s="8">
        <f>(10445198.5*36.744)/1000000</f>
        <v>383.79837368400001</v>
      </c>
      <c r="M16" s="8"/>
      <c r="N16" s="15"/>
    </row>
    <row r="17" spans="1:14" ht="16.899999999999999" customHeight="1" x14ac:dyDescent="0.2">
      <c r="A17" s="20" t="s">
        <v>47</v>
      </c>
      <c r="B17" s="43"/>
      <c r="C17" s="43"/>
      <c r="D17" s="43"/>
      <c r="E17" s="45"/>
      <c r="F17" s="8"/>
      <c r="G17" s="8">
        <f>(19638*36.744)/1000000</f>
        <v>0.72157867200000003</v>
      </c>
      <c r="H17" s="15"/>
      <c r="I17" s="43"/>
      <c r="J17" s="15">
        <f>((5895360*0.907185)*36.744)/1000000</f>
        <v>196.5136053458304</v>
      </c>
      <c r="K17" s="44"/>
      <c r="L17" s="8">
        <f>(8829299.6*36.744)/1000000</f>
        <v>324.4237845024</v>
      </c>
      <c r="M17" s="8"/>
      <c r="N17" s="15"/>
    </row>
    <row r="18" spans="1:14" ht="16.899999999999999" customHeight="1" x14ac:dyDescent="0.2">
      <c r="A18" s="20" t="s">
        <v>48</v>
      </c>
      <c r="B18" s="43"/>
      <c r="C18" s="43"/>
      <c r="D18" s="43"/>
      <c r="E18" s="45"/>
      <c r="F18" s="8"/>
      <c r="G18" s="8">
        <f>(22552.9*36.744)/1000000</f>
        <v>0.82868375760000001</v>
      </c>
      <c r="H18" s="15"/>
      <c r="I18" s="43"/>
      <c r="J18" s="15">
        <f>((4930499*0.907185)*36.744)/1000000</f>
        <v>164.35130927441435</v>
      </c>
      <c r="K18" s="44"/>
      <c r="L18" s="8">
        <f>(4558707.1*36.744)/1000000</f>
        <v>167.50513368239999</v>
      </c>
      <c r="M18" s="8"/>
      <c r="N18" s="15"/>
    </row>
    <row r="19" spans="1:14" ht="16.899999999999999" customHeight="1" x14ac:dyDescent="0.2">
      <c r="A19" s="20" t="s">
        <v>139</v>
      </c>
      <c r="B19" s="43"/>
      <c r="C19" s="43"/>
      <c r="D19" s="43"/>
      <c r="E19" s="45">
        <f>N15</f>
        <v>2946.74</v>
      </c>
      <c r="F19" s="8"/>
      <c r="G19" s="8">
        <f>SUM(G16:G18)</f>
        <v>2.4110567688</v>
      </c>
      <c r="H19" s="15">
        <f>E19+F19+G19</f>
        <v>2949.1510567687997</v>
      </c>
      <c r="I19" s="43"/>
      <c r="J19" s="15">
        <f>SUM(J16:J18)</f>
        <v>554.00759242851893</v>
      </c>
      <c r="K19" s="44">
        <f>M19-L19-J19</f>
        <v>-42.267827528519319</v>
      </c>
      <c r="L19" s="8">
        <f>SUM(L16:L18)</f>
        <v>875.72729186880008</v>
      </c>
      <c r="M19" s="8">
        <f>H19-N19</f>
        <v>1387.4670567687997</v>
      </c>
      <c r="N19" s="15">
        <v>1561.684</v>
      </c>
    </row>
    <row r="20" spans="1:14" ht="16.899999999999999" customHeight="1" x14ac:dyDescent="0.2">
      <c r="A20" s="20" t="s">
        <v>49</v>
      </c>
      <c r="B20" s="43"/>
      <c r="C20" s="43"/>
      <c r="D20" s="43"/>
      <c r="E20" s="45"/>
      <c r="F20" s="8"/>
      <c r="G20" s="8">
        <f>(26142.7*36.744)/1000000</f>
        <v>0.96058736880000006</v>
      </c>
      <c r="H20" s="15"/>
      <c r="I20" s="43"/>
      <c r="J20" s="15">
        <f>((5646728*0.907185)*36.744)/1000000</f>
        <v>188.22580430834591</v>
      </c>
      <c r="K20" s="44"/>
      <c r="L20" s="8">
        <f>(2295121.8*36.744)/1000000</f>
        <v>84.331955419199986</v>
      </c>
      <c r="M20" s="8"/>
      <c r="N20" s="49"/>
    </row>
    <row r="21" spans="1:14" ht="16.899999999999999" customHeight="1" x14ac:dyDescent="0.2">
      <c r="A21" s="20" t="s">
        <v>50</v>
      </c>
      <c r="B21" s="43"/>
      <c r="C21" s="43"/>
      <c r="D21" s="43"/>
      <c r="E21" s="45"/>
      <c r="F21" s="8"/>
      <c r="G21" s="8">
        <f>(34734.1*36.744)/1000000</f>
        <v>1.2762697704000001</v>
      </c>
      <c r="H21" s="15"/>
      <c r="I21" s="43"/>
      <c r="J21" s="15">
        <f>((5095631*0.907185)*36.744)/1000000</f>
        <v>169.85575424095885</v>
      </c>
      <c r="K21" s="44"/>
      <c r="L21" s="8">
        <f>(1384924.4*36.744)/1000000</f>
        <v>50.887662153599997</v>
      </c>
      <c r="M21" s="8"/>
      <c r="N21" s="49"/>
    </row>
    <row r="22" spans="1:14" ht="16.899999999999999" customHeight="1" x14ac:dyDescent="0.2">
      <c r="A22" s="20" t="s">
        <v>51</v>
      </c>
      <c r="B22" s="43"/>
      <c r="C22" s="43"/>
      <c r="D22" s="43"/>
      <c r="E22" s="45"/>
      <c r="F22" s="8"/>
      <c r="G22" s="8">
        <f>(51046.1*36.744)/1000000</f>
        <v>1.8756378983999997</v>
      </c>
      <c r="H22" s="15"/>
      <c r="I22" s="43"/>
      <c r="J22" s="15">
        <f>((5205032*0.907185)*36.744)/1000000</f>
        <v>173.50248403158051</v>
      </c>
      <c r="K22" s="44"/>
      <c r="L22" s="8">
        <f>(1266685.1*36.744)/1000000</f>
        <v>46.543077314400001</v>
      </c>
      <c r="M22" s="8"/>
      <c r="N22" s="49"/>
    </row>
    <row r="23" spans="1:14" ht="16.899999999999999" customHeight="1" x14ac:dyDescent="0.2">
      <c r="A23" s="20" t="s">
        <v>140</v>
      </c>
      <c r="B23" s="43"/>
      <c r="C23" s="43"/>
      <c r="D23" s="43"/>
      <c r="E23" s="45">
        <f>N19</f>
        <v>1561.684</v>
      </c>
      <c r="F23" s="8"/>
      <c r="G23" s="8">
        <f>SUM(G20:G22)</f>
        <v>4.1124950375999996</v>
      </c>
      <c r="H23" s="15">
        <f>E23+F23+G23</f>
        <v>1565.7964950375999</v>
      </c>
      <c r="I23" s="43"/>
      <c r="J23" s="16">
        <f>SUM(J20:J22)</f>
        <v>531.58404258088524</v>
      </c>
      <c r="K23" s="44">
        <f>M23-L23-J23</f>
        <v>83.137757569514747</v>
      </c>
      <c r="L23" s="8">
        <f>SUM(L20:L22)</f>
        <v>181.76269488719998</v>
      </c>
      <c r="M23" s="8">
        <f>H23-N23</f>
        <v>796.48449503759991</v>
      </c>
      <c r="N23" s="15">
        <v>769.31200000000001</v>
      </c>
    </row>
    <row r="24" spans="1:14" ht="16.899999999999999" customHeight="1" x14ac:dyDescent="0.2">
      <c r="A24" s="20" t="s">
        <v>52</v>
      </c>
      <c r="B24" s="43"/>
      <c r="C24" s="43"/>
      <c r="D24" s="43"/>
      <c r="E24" s="45"/>
      <c r="F24" s="8"/>
      <c r="G24" s="8">
        <f>(205436.7*36.744)/1000000</f>
        <v>7.5485661048000008</v>
      </c>
      <c r="H24" s="15"/>
      <c r="I24" s="43"/>
      <c r="J24" s="16">
        <f>((4852334*0.907185)*36.744)/1000000</f>
        <v>161.74578798956375</v>
      </c>
      <c r="K24" s="44"/>
      <c r="L24" s="8">
        <f>(925497.6*36.744)/1000000</f>
        <v>34.006483814399999</v>
      </c>
      <c r="M24" s="8"/>
      <c r="N24" s="15"/>
    </row>
    <row r="25" spans="1:14" ht="16.899999999999999" customHeight="1" x14ac:dyDescent="0.2">
      <c r="A25" s="20" t="s">
        <v>54</v>
      </c>
      <c r="B25" s="43"/>
      <c r="C25" s="43"/>
      <c r="D25" s="43"/>
      <c r="E25" s="45"/>
      <c r="F25" s="8"/>
      <c r="G25" s="8">
        <f>(59776.6*36.744)/1000000</f>
        <v>2.1964313903999999</v>
      </c>
      <c r="H25" s="15"/>
      <c r="I25" s="43"/>
      <c r="J25" s="16">
        <f>((4989996*0.907185)*36.744)/1000000</f>
        <v>166.33455880917742</v>
      </c>
      <c r="K25" s="44"/>
      <c r="L25" s="8">
        <f>(945804.5*36.744)/1000000</f>
        <v>34.752640548000002</v>
      </c>
      <c r="M25" s="8"/>
      <c r="N25" s="15"/>
    </row>
    <row r="26" spans="1:14" ht="16.899999999999999" customHeight="1" x14ac:dyDescent="0.2">
      <c r="A26" s="20" t="s">
        <v>55</v>
      </c>
      <c r="B26" s="43"/>
      <c r="C26" s="43"/>
      <c r="D26" s="43"/>
      <c r="E26" s="45"/>
      <c r="F26" s="8"/>
      <c r="G26" s="8">
        <f>(15317.3*36.744)/1000000</f>
        <v>0.56281887119999996</v>
      </c>
      <c r="H26" s="15"/>
      <c r="I26" s="43"/>
      <c r="J26" s="16">
        <f>((5047776*0.907185)*36.744)/1000000</f>
        <v>168.26057454305666</v>
      </c>
      <c r="K26" s="44"/>
      <c r="L26" s="8">
        <f>(1308682.8*36.744)/1000000</f>
        <v>48.086240803199999</v>
      </c>
      <c r="M26" s="8"/>
      <c r="N26" s="15"/>
    </row>
    <row r="27" spans="1:14" ht="16.899999999999999" customHeight="1" x14ac:dyDescent="0.2">
      <c r="A27" s="20" t="s">
        <v>141</v>
      </c>
      <c r="B27" s="43"/>
      <c r="C27" s="43"/>
      <c r="D27" s="43"/>
      <c r="E27" s="45">
        <f>N23</f>
        <v>769.31200000000001</v>
      </c>
      <c r="F27" s="8"/>
      <c r="G27" s="8">
        <f>SUM(G24:G26)</f>
        <v>10.307816366399999</v>
      </c>
      <c r="H27" s="15">
        <f>E27+F27+G27</f>
        <v>779.61981636639996</v>
      </c>
      <c r="I27" s="43"/>
      <c r="J27" s="16">
        <f>SUM(J24:J26)</f>
        <v>496.34092134179787</v>
      </c>
      <c r="K27" s="47">
        <f>M27-L27-J27</f>
        <v>-89.745470140997895</v>
      </c>
      <c r="L27" s="8">
        <f>SUM(L24:L26)</f>
        <v>116.8453651656</v>
      </c>
      <c r="M27" s="8">
        <f>H27-N27</f>
        <v>523.44081636639999</v>
      </c>
      <c r="N27" s="15">
        <v>256.17899999999997</v>
      </c>
    </row>
    <row r="28" spans="1:14" s="64" customFormat="1" ht="16.5" customHeight="1" x14ac:dyDescent="0.2">
      <c r="A28" s="24" t="s">
        <v>3</v>
      </c>
      <c r="B28" s="43"/>
      <c r="C28" s="43"/>
      <c r="D28" s="43"/>
      <c r="E28" s="45"/>
      <c r="F28" s="46">
        <f>F15</f>
        <v>4216.3019999999997</v>
      </c>
      <c r="G28" s="8">
        <f>G15+G19+G23+G27</f>
        <v>19.838438342399996</v>
      </c>
      <c r="H28" s="15">
        <f>E15+F28+G28</f>
        <v>4760.6814383423998</v>
      </c>
      <c r="I28" s="43"/>
      <c r="J28" s="15">
        <f>J15+J19+J23+J27</f>
        <v>2140.6021535309255</v>
      </c>
      <c r="K28" s="44">
        <f>SUM(K15,K19,K23,K27)</f>
        <v>98.451103312274427</v>
      </c>
      <c r="L28" s="8">
        <f>L15+L19+L23+L27</f>
        <v>2265.4491814991998</v>
      </c>
      <c r="M28" s="8">
        <f>M15+M19+M23+M27</f>
        <v>4504.5024383424006</v>
      </c>
      <c r="N28" s="15"/>
    </row>
    <row r="29" spans="1:14" ht="16.5" customHeight="1" x14ac:dyDescent="0.2">
      <c r="A29" s="24"/>
      <c r="B29" s="43"/>
      <c r="C29" s="43"/>
      <c r="D29" s="43"/>
      <c r="E29" s="45"/>
      <c r="F29" s="46"/>
      <c r="G29" s="8"/>
      <c r="H29" s="15"/>
      <c r="I29" s="43"/>
      <c r="J29" s="15"/>
      <c r="K29" s="44"/>
      <c r="L29" s="8"/>
      <c r="M29" s="8"/>
      <c r="N29" s="15"/>
    </row>
    <row r="30" spans="1:14" ht="16.5" customHeight="1" x14ac:dyDescent="0.25">
      <c r="A30" s="60" t="s">
        <v>135</v>
      </c>
      <c r="B30" s="43"/>
      <c r="C30" s="43"/>
      <c r="D30" s="43"/>
      <c r="E30" s="45"/>
      <c r="F30" s="46"/>
      <c r="G30" s="8"/>
      <c r="H30" s="15"/>
      <c r="I30" s="43"/>
      <c r="J30" s="15"/>
      <c r="K30" s="44"/>
      <c r="L30" s="8"/>
      <c r="M30" s="8"/>
      <c r="N30" s="15"/>
    </row>
    <row r="31" spans="1:14" ht="16.5" customHeight="1" x14ac:dyDescent="0.2">
      <c r="A31" s="24" t="s">
        <v>57</v>
      </c>
      <c r="B31" s="43"/>
      <c r="C31" s="43"/>
      <c r="D31" s="43"/>
      <c r="E31" s="45">
        <f>N27</f>
        <v>256.17899999999997</v>
      </c>
      <c r="F31" s="46"/>
      <c r="G31" s="8">
        <f>(24320.3*36.744)/1000000</f>
        <v>0.89362510319999999</v>
      </c>
      <c r="I31" s="43"/>
      <c r="J31" s="15">
        <f>((4924574*0.907185)*36.744)/1000000</f>
        <v>164.15380766099736</v>
      </c>
      <c r="K31" s="44"/>
      <c r="L31" s="8">
        <f>(2167640.8*36.744)/1000000</f>
        <v>79.647793555199996</v>
      </c>
      <c r="M31" s="8"/>
      <c r="N31" s="15"/>
    </row>
    <row r="32" spans="1:14" ht="16.5" customHeight="1" x14ac:dyDescent="0.2">
      <c r="A32" s="24"/>
      <c r="B32" s="43"/>
      <c r="C32" s="43"/>
      <c r="D32" s="43"/>
      <c r="E32" s="45"/>
      <c r="F32" s="46"/>
      <c r="G32" s="8"/>
      <c r="H32" s="15"/>
      <c r="I32" s="43"/>
      <c r="J32" s="15"/>
      <c r="K32" s="44"/>
      <c r="L32" s="8"/>
      <c r="M32" s="8"/>
      <c r="N32" s="15"/>
    </row>
    <row r="33" spans="1:73" ht="16.5" customHeight="1" x14ac:dyDescent="0.2">
      <c r="A33" s="142" t="s">
        <v>194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43"/>
      <c r="M33" s="105"/>
      <c r="N33" s="105"/>
    </row>
    <row r="34" spans="1:73" ht="16.5" customHeight="1" x14ac:dyDescent="0.2">
      <c r="A34" s="20" t="s">
        <v>123</v>
      </c>
      <c r="B34" s="20"/>
      <c r="C34" s="20"/>
      <c r="D34" s="20"/>
      <c r="E34" s="51"/>
      <c r="F34" s="51"/>
      <c r="G34" s="51"/>
      <c r="H34" s="51"/>
      <c r="I34" s="51"/>
      <c r="J34" s="51"/>
      <c r="K34" s="51"/>
      <c r="L34" s="51"/>
      <c r="M34" s="51"/>
      <c r="N34" s="51"/>
    </row>
    <row r="35" spans="1:73" ht="16.5" customHeight="1" x14ac:dyDescent="0.2">
      <c r="A35" s="26" t="s">
        <v>18</v>
      </c>
      <c r="B35" s="52">
        <f ca="1">NOW()</f>
        <v>44510.570713194444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53"/>
      <c r="P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</row>
    <row r="36" spans="1:73" x14ac:dyDescent="0.2">
      <c r="O36" s="53"/>
      <c r="P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</row>
    <row r="37" spans="1:73" x14ac:dyDescent="0.2">
      <c r="O37" s="53"/>
      <c r="P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</row>
    <row r="38" spans="1:73" x14ac:dyDescent="0.2">
      <c r="O38" s="53"/>
      <c r="P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</row>
    <row r="39" spans="1:73" x14ac:dyDescent="0.2">
      <c r="F39" s="54"/>
      <c r="O39" s="53"/>
      <c r="P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</row>
    <row r="40" spans="1:73" x14ac:dyDescent="0.2">
      <c r="O40" s="53"/>
      <c r="P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</row>
    <row r="41" spans="1:73" x14ac:dyDescent="0.2">
      <c r="O41" s="53"/>
      <c r="P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</row>
    <row r="42" spans="1:73" x14ac:dyDescent="0.2">
      <c r="O42" s="53"/>
      <c r="P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</row>
    <row r="43" spans="1:73" x14ac:dyDescent="0.2">
      <c r="O43" s="53"/>
      <c r="P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</row>
    <row r="44" spans="1:73" x14ac:dyDescent="0.2">
      <c r="O44" s="53"/>
      <c r="P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</row>
    <row r="45" spans="1:73" x14ac:dyDescent="0.2">
      <c r="O45" s="53"/>
      <c r="P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</row>
    <row r="46" spans="1:73" x14ac:dyDescent="0.2">
      <c r="O46" s="53"/>
      <c r="P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</row>
    <row r="47" spans="1:73" x14ac:dyDescent="0.2">
      <c r="O47" s="53"/>
      <c r="P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</row>
    <row r="48" spans="1:73" x14ac:dyDescent="0.2">
      <c r="O48" s="53"/>
      <c r="P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</row>
    <row r="49" spans="15:73" x14ac:dyDescent="0.2">
      <c r="O49" s="53"/>
      <c r="P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</row>
    <row r="50" spans="15:73" x14ac:dyDescent="0.2">
      <c r="O50" s="53"/>
      <c r="P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</row>
    <row r="51" spans="15:73" x14ac:dyDescent="0.2">
      <c r="O51" s="53"/>
      <c r="P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</row>
    <row r="52" spans="15:73" x14ac:dyDescent="0.2">
      <c r="O52" s="53"/>
      <c r="P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</row>
    <row r="53" spans="15:73" x14ac:dyDescent="0.2">
      <c r="O53" s="53"/>
      <c r="P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</row>
    <row r="54" spans="15:73" x14ac:dyDescent="0.2">
      <c r="O54" s="53"/>
      <c r="P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</row>
    <row r="55" spans="15:73" x14ac:dyDescent="0.2">
      <c r="O55" s="53"/>
      <c r="P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</row>
    <row r="56" spans="15:73" x14ac:dyDescent="0.2">
      <c r="O56" s="53"/>
      <c r="P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</row>
    <row r="57" spans="15:73" x14ac:dyDescent="0.2">
      <c r="O57" s="53"/>
      <c r="P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</row>
    <row r="58" spans="15:73" x14ac:dyDescent="0.2">
      <c r="O58" s="53"/>
      <c r="P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</row>
    <row r="59" spans="15:73" x14ac:dyDescent="0.2">
      <c r="O59" s="53"/>
      <c r="P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</row>
    <row r="60" spans="15:73" x14ac:dyDescent="0.2">
      <c r="O60" s="53"/>
      <c r="P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</row>
    <row r="61" spans="15:73" x14ac:dyDescent="0.2">
      <c r="O61" s="53"/>
      <c r="P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</row>
    <row r="62" spans="15:73" x14ac:dyDescent="0.2">
      <c r="O62" s="53"/>
      <c r="P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</row>
    <row r="63" spans="15:73" x14ac:dyDescent="0.2"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</row>
    <row r="64" spans="15:73" x14ac:dyDescent="0.2"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3"/>
      <c r="BS64" s="53"/>
      <c r="BT64" s="53"/>
      <c r="BU64" s="53"/>
    </row>
    <row r="65" spans="15:73" x14ac:dyDescent="0.2"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</row>
    <row r="66" spans="15:73" x14ac:dyDescent="0.2"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</row>
    <row r="67" spans="15:73" x14ac:dyDescent="0.2"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</row>
    <row r="68" spans="15:73" x14ac:dyDescent="0.2"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</row>
    <row r="69" spans="15:73" x14ac:dyDescent="0.2"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</row>
    <row r="70" spans="15:73" x14ac:dyDescent="0.2"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</row>
    <row r="71" spans="15:73" x14ac:dyDescent="0.2"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</row>
    <row r="72" spans="15:73" x14ac:dyDescent="0.2"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</row>
    <row r="73" spans="15:73" x14ac:dyDescent="0.2"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</row>
    <row r="74" spans="15:73" x14ac:dyDescent="0.2"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/>
      <c r="BS74" s="53"/>
      <c r="BT74" s="53"/>
      <c r="BU74" s="53"/>
    </row>
    <row r="75" spans="15:73" x14ac:dyDescent="0.2"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3"/>
      <c r="BS75" s="53"/>
      <c r="BT75" s="53"/>
      <c r="BU75" s="53"/>
    </row>
    <row r="76" spans="15:73" x14ac:dyDescent="0.2"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</row>
    <row r="77" spans="15:73" x14ac:dyDescent="0.2"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3"/>
      <c r="BT77" s="53"/>
      <c r="BU77" s="53"/>
    </row>
    <row r="78" spans="15:73" x14ac:dyDescent="0.2"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</row>
    <row r="79" spans="15:73" x14ac:dyDescent="0.2"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  <c r="BT79" s="53"/>
      <c r="BU79" s="53"/>
    </row>
    <row r="80" spans="15:73" x14ac:dyDescent="0.2"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3"/>
      <c r="BS80" s="53"/>
      <c r="BT80" s="53"/>
      <c r="BU80" s="53"/>
    </row>
    <row r="81" spans="15:73" x14ac:dyDescent="0.2"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</row>
    <row r="82" spans="15:73" x14ac:dyDescent="0.2"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</row>
    <row r="83" spans="15:73" x14ac:dyDescent="0.2"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</row>
    <row r="84" spans="15:73" x14ac:dyDescent="0.2"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3"/>
      <c r="BS84" s="53"/>
      <c r="BT84" s="53"/>
      <c r="BU84" s="53"/>
    </row>
    <row r="85" spans="15:73" x14ac:dyDescent="0.2"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</row>
    <row r="86" spans="15:73" x14ac:dyDescent="0.2"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3"/>
      <c r="BS86" s="53"/>
      <c r="BT86" s="53"/>
      <c r="BU86" s="53"/>
    </row>
    <row r="87" spans="15:73" x14ac:dyDescent="0.2"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3"/>
      <c r="BU87" s="53"/>
    </row>
    <row r="88" spans="15:73" x14ac:dyDescent="0.2"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3"/>
      <c r="BT88" s="53"/>
      <c r="BU88" s="53"/>
    </row>
    <row r="89" spans="15:73" x14ac:dyDescent="0.2"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  <c r="BT89" s="53"/>
      <c r="BU89" s="53"/>
    </row>
    <row r="90" spans="15:73" x14ac:dyDescent="0.2"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</row>
    <row r="91" spans="15:73" x14ac:dyDescent="0.2"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</row>
    <row r="92" spans="15:73" x14ac:dyDescent="0.2"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</row>
    <row r="93" spans="15:73" x14ac:dyDescent="0.2"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3"/>
      <c r="BT93" s="53"/>
      <c r="BU93" s="53"/>
    </row>
    <row r="94" spans="15:73" x14ac:dyDescent="0.2"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</row>
    <row r="95" spans="15:73" x14ac:dyDescent="0.2"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3"/>
      <c r="BS95" s="53"/>
      <c r="BT95" s="53"/>
      <c r="BU95" s="53"/>
    </row>
    <row r="96" spans="15:73" x14ac:dyDescent="0.2"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3"/>
      <c r="BS96" s="53"/>
      <c r="BT96" s="53"/>
      <c r="BU96" s="53"/>
    </row>
    <row r="97" spans="15:73" x14ac:dyDescent="0.2"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  <c r="BT97" s="53"/>
      <c r="BU97" s="53"/>
    </row>
    <row r="98" spans="15:73" x14ac:dyDescent="0.2"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</row>
    <row r="99" spans="15:73" x14ac:dyDescent="0.2"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3"/>
      <c r="BS99" s="53"/>
      <c r="BT99" s="53"/>
      <c r="BU99" s="53"/>
    </row>
    <row r="100" spans="15:73" x14ac:dyDescent="0.2"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3"/>
      <c r="BS100" s="53"/>
      <c r="BT100" s="53"/>
      <c r="BU100" s="53"/>
    </row>
    <row r="101" spans="15:73" x14ac:dyDescent="0.2"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3"/>
      <c r="BS101" s="53"/>
      <c r="BT101" s="53"/>
      <c r="BU101" s="53"/>
    </row>
    <row r="102" spans="15:73" x14ac:dyDescent="0.2"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3"/>
      <c r="BS102" s="53"/>
      <c r="BT102" s="53"/>
      <c r="BU102" s="53"/>
    </row>
    <row r="103" spans="15:73" x14ac:dyDescent="0.2"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3"/>
      <c r="BS103" s="53"/>
      <c r="BT103" s="53"/>
      <c r="BU103" s="53"/>
    </row>
    <row r="104" spans="15:73" x14ac:dyDescent="0.2"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  <c r="BT104" s="53"/>
      <c r="BU104" s="53"/>
    </row>
    <row r="105" spans="15:73" x14ac:dyDescent="0.2"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</row>
    <row r="106" spans="15:73" x14ac:dyDescent="0.2"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</row>
    <row r="107" spans="15:73" x14ac:dyDescent="0.2"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3"/>
      <c r="BS107" s="53"/>
      <c r="BT107" s="53"/>
      <c r="BU107" s="53"/>
    </row>
    <row r="108" spans="15:73" x14ac:dyDescent="0.2"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3"/>
      <c r="BT108" s="53"/>
      <c r="BU108" s="53"/>
    </row>
    <row r="109" spans="15:73" x14ac:dyDescent="0.2"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</row>
    <row r="110" spans="15:73" x14ac:dyDescent="0.2"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</row>
    <row r="111" spans="15:73" x14ac:dyDescent="0.2"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3"/>
      <c r="BT111" s="53"/>
      <c r="BU111" s="53"/>
    </row>
    <row r="112" spans="15:73" x14ac:dyDescent="0.2"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3"/>
      <c r="BS112" s="53"/>
      <c r="BT112" s="53"/>
      <c r="BU112" s="53"/>
    </row>
    <row r="113" spans="15:73" x14ac:dyDescent="0.2"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3"/>
      <c r="BS113" s="53"/>
      <c r="BT113" s="53"/>
      <c r="BU113" s="53"/>
    </row>
    <row r="114" spans="15:73" x14ac:dyDescent="0.2"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</row>
    <row r="115" spans="15:73" x14ac:dyDescent="0.2"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</row>
    <row r="116" spans="15:73" x14ac:dyDescent="0.2"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3"/>
      <c r="BS116" s="53"/>
      <c r="BT116" s="53"/>
      <c r="BU116" s="53"/>
    </row>
    <row r="117" spans="15:73" x14ac:dyDescent="0.2"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3"/>
      <c r="BS117" s="53"/>
      <c r="BT117" s="53"/>
      <c r="BU117" s="53"/>
    </row>
    <row r="118" spans="15:73" x14ac:dyDescent="0.2"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3"/>
      <c r="BR118" s="53"/>
      <c r="BS118" s="53"/>
      <c r="BT118" s="53"/>
      <c r="BU118" s="53"/>
    </row>
    <row r="119" spans="15:73" x14ac:dyDescent="0.2"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S119" s="53"/>
      <c r="BT119" s="53"/>
      <c r="BU119" s="53"/>
    </row>
    <row r="120" spans="15:73" x14ac:dyDescent="0.2"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</row>
    <row r="121" spans="15:73" x14ac:dyDescent="0.2"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3"/>
      <c r="BU121" s="53"/>
    </row>
    <row r="122" spans="15:73" x14ac:dyDescent="0.2"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</row>
    <row r="123" spans="15:73" x14ac:dyDescent="0.2"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S123" s="53"/>
      <c r="BT123" s="53"/>
      <c r="BU123" s="53"/>
    </row>
    <row r="124" spans="15:73" x14ac:dyDescent="0.2"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3"/>
      <c r="BS124" s="53"/>
      <c r="BT124" s="53"/>
      <c r="BU124" s="53"/>
    </row>
    <row r="125" spans="15:73" x14ac:dyDescent="0.2"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</row>
    <row r="126" spans="15:73" x14ac:dyDescent="0.2"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3"/>
      <c r="BS126" s="53"/>
      <c r="BT126" s="53"/>
      <c r="BU126" s="53"/>
    </row>
    <row r="127" spans="15:73" x14ac:dyDescent="0.2"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S127" s="53"/>
      <c r="BT127" s="53"/>
      <c r="BU127" s="53"/>
    </row>
    <row r="128" spans="15:73" x14ac:dyDescent="0.2"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3"/>
      <c r="BS128" s="53"/>
      <c r="BT128" s="53"/>
      <c r="BU128" s="53"/>
    </row>
    <row r="129" spans="15:73" x14ac:dyDescent="0.2"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3"/>
      <c r="BS129" s="53"/>
      <c r="BT129" s="53"/>
      <c r="BU129" s="53"/>
    </row>
    <row r="130" spans="15:73" x14ac:dyDescent="0.2"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3"/>
      <c r="BT130" s="53"/>
      <c r="BU130" s="53"/>
    </row>
    <row r="131" spans="15:73" x14ac:dyDescent="0.2"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</row>
    <row r="132" spans="15:73" x14ac:dyDescent="0.2"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</row>
    <row r="133" spans="15:73" x14ac:dyDescent="0.2"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</row>
    <row r="134" spans="15:73" x14ac:dyDescent="0.2"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3"/>
      <c r="BS134" s="53"/>
      <c r="BT134" s="53"/>
      <c r="BU134" s="53"/>
    </row>
    <row r="135" spans="15:73" x14ac:dyDescent="0.2"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</row>
    <row r="136" spans="15:73" x14ac:dyDescent="0.2"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3"/>
      <c r="BS136" s="53"/>
      <c r="BT136" s="53"/>
      <c r="BU136" s="53"/>
    </row>
    <row r="137" spans="15:73" x14ac:dyDescent="0.2"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3"/>
      <c r="BS137" s="53"/>
      <c r="BT137" s="53"/>
      <c r="BU137" s="53"/>
    </row>
    <row r="138" spans="15:73" x14ac:dyDescent="0.2"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3"/>
      <c r="BT138" s="53"/>
      <c r="BU138" s="53"/>
    </row>
    <row r="139" spans="15:73" x14ac:dyDescent="0.2"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</row>
    <row r="140" spans="15:73" x14ac:dyDescent="0.2"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</row>
    <row r="141" spans="15:73" x14ac:dyDescent="0.2"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  <c r="BT141" s="53"/>
      <c r="BU141" s="53"/>
    </row>
    <row r="142" spans="15:73" x14ac:dyDescent="0.2"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3"/>
      <c r="BS142" s="53"/>
      <c r="BT142" s="53"/>
      <c r="BU142" s="53"/>
    </row>
    <row r="143" spans="15:73" x14ac:dyDescent="0.2"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  <c r="BS143" s="53"/>
      <c r="BT143" s="53"/>
      <c r="BU143" s="53"/>
    </row>
    <row r="144" spans="15:73" x14ac:dyDescent="0.2"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3"/>
      <c r="BS144" s="53"/>
      <c r="BT144" s="53"/>
      <c r="BU144" s="53"/>
    </row>
    <row r="145" spans="15:73" x14ac:dyDescent="0.2"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</row>
    <row r="146" spans="15:73" x14ac:dyDescent="0.2"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3"/>
      <c r="BS146" s="53"/>
      <c r="BT146" s="53"/>
      <c r="BU146" s="53"/>
    </row>
    <row r="147" spans="15:73" x14ac:dyDescent="0.2"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S147" s="53"/>
      <c r="BT147" s="53"/>
      <c r="BU147" s="53"/>
    </row>
    <row r="148" spans="15:73" x14ac:dyDescent="0.2"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3"/>
      <c r="BS148" s="53"/>
      <c r="BT148" s="53"/>
      <c r="BU148" s="53"/>
    </row>
    <row r="149" spans="15:73" x14ac:dyDescent="0.2"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  <c r="BS149" s="53"/>
      <c r="BT149" s="53"/>
      <c r="BU149" s="53"/>
    </row>
    <row r="150" spans="15:73" x14ac:dyDescent="0.2"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3"/>
      <c r="BS150" s="53"/>
      <c r="BT150" s="53"/>
      <c r="BU150" s="53"/>
    </row>
    <row r="151" spans="15:73" x14ac:dyDescent="0.2"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  <c r="BT151" s="53"/>
      <c r="BU151" s="53"/>
    </row>
    <row r="152" spans="15:73" x14ac:dyDescent="0.2"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</row>
    <row r="153" spans="15:73" x14ac:dyDescent="0.2"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</row>
    <row r="154" spans="15:73" x14ac:dyDescent="0.2"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3"/>
      <c r="BS154" s="53"/>
      <c r="BT154" s="53"/>
      <c r="BU154" s="53"/>
    </row>
    <row r="155" spans="15:73" x14ac:dyDescent="0.2"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3"/>
      <c r="BS155" s="53"/>
      <c r="BT155" s="53"/>
      <c r="BU155" s="53"/>
    </row>
    <row r="156" spans="15:73" x14ac:dyDescent="0.2"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3"/>
      <c r="BS156" s="53"/>
      <c r="BT156" s="53"/>
      <c r="BU156" s="53"/>
    </row>
    <row r="157" spans="15:73" x14ac:dyDescent="0.2"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  <c r="BS157" s="53"/>
      <c r="BT157" s="53"/>
      <c r="BU157" s="53"/>
    </row>
    <row r="158" spans="15:73" x14ac:dyDescent="0.2"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3"/>
      <c r="BS158" s="53"/>
      <c r="BT158" s="53"/>
      <c r="BU158" s="53"/>
    </row>
    <row r="159" spans="15:73" x14ac:dyDescent="0.2"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  <c r="BS159" s="53"/>
      <c r="BT159" s="53"/>
      <c r="BU159" s="53"/>
    </row>
    <row r="160" spans="15:73" x14ac:dyDescent="0.2"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3"/>
      <c r="BS160" s="53"/>
      <c r="BT160" s="53"/>
      <c r="BU160" s="53"/>
    </row>
    <row r="161" spans="15:73" x14ac:dyDescent="0.2"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  <c r="BS161" s="53"/>
      <c r="BT161" s="53"/>
      <c r="BU161" s="53"/>
    </row>
    <row r="162" spans="15:73" x14ac:dyDescent="0.2"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3"/>
      <c r="BS162" s="53"/>
      <c r="BT162" s="53"/>
      <c r="BU162" s="53"/>
    </row>
    <row r="163" spans="15:73" x14ac:dyDescent="0.2"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3"/>
      <c r="BS163" s="53"/>
      <c r="BT163" s="53"/>
      <c r="BU163" s="53"/>
    </row>
    <row r="164" spans="15:73" x14ac:dyDescent="0.2"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3"/>
      <c r="BS164" s="53"/>
      <c r="BT164" s="53"/>
      <c r="BU164" s="53"/>
    </row>
    <row r="165" spans="15:73" x14ac:dyDescent="0.2"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3"/>
      <c r="BS165" s="53"/>
      <c r="BT165" s="53"/>
      <c r="BU165" s="53"/>
    </row>
    <row r="166" spans="15:73" x14ac:dyDescent="0.2"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53"/>
      <c r="BS166" s="53"/>
      <c r="BT166" s="53"/>
      <c r="BU166" s="53"/>
    </row>
    <row r="167" spans="15:73" x14ac:dyDescent="0.2"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3"/>
      <c r="BS167" s="53"/>
      <c r="BT167" s="53"/>
      <c r="BU167" s="53"/>
    </row>
    <row r="168" spans="15:73" x14ac:dyDescent="0.2"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  <c r="BF168" s="53"/>
      <c r="BG168" s="53"/>
      <c r="BH168" s="53"/>
      <c r="BI168" s="53"/>
      <c r="BJ168" s="53"/>
      <c r="BK168" s="53"/>
      <c r="BL168" s="53"/>
      <c r="BM168" s="53"/>
      <c r="BN168" s="53"/>
      <c r="BO168" s="53"/>
      <c r="BP168" s="53"/>
      <c r="BQ168" s="53"/>
      <c r="BR168" s="53"/>
      <c r="BS168" s="53"/>
      <c r="BT168" s="53"/>
      <c r="BU168" s="53"/>
    </row>
    <row r="169" spans="15:73" x14ac:dyDescent="0.2"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3"/>
      <c r="BS169" s="53"/>
      <c r="BT169" s="53"/>
      <c r="BU169" s="53"/>
    </row>
    <row r="170" spans="15:73" x14ac:dyDescent="0.2"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3"/>
      <c r="BG170" s="53"/>
      <c r="BH170" s="53"/>
      <c r="BI170" s="53"/>
      <c r="BJ170" s="53"/>
      <c r="BK170" s="53"/>
      <c r="BL170" s="53"/>
      <c r="BM170" s="53"/>
      <c r="BN170" s="53"/>
      <c r="BO170" s="53"/>
      <c r="BP170" s="53"/>
      <c r="BQ170" s="53"/>
      <c r="BR170" s="53"/>
      <c r="BS170" s="53"/>
      <c r="BT170" s="53"/>
      <c r="BU170" s="53"/>
    </row>
    <row r="171" spans="15:73" x14ac:dyDescent="0.2"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3"/>
      <c r="BS171" s="53"/>
      <c r="BT171" s="53"/>
      <c r="BU171" s="53"/>
    </row>
    <row r="172" spans="15:73" x14ac:dyDescent="0.2"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53"/>
      <c r="BS172" s="53"/>
      <c r="BT172" s="53"/>
      <c r="BU172" s="53"/>
    </row>
    <row r="173" spans="15:73" x14ac:dyDescent="0.2"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3"/>
      <c r="BS173" s="53"/>
      <c r="BT173" s="53"/>
      <c r="BU173" s="53"/>
    </row>
    <row r="174" spans="15:73" x14ac:dyDescent="0.2"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3"/>
      <c r="BS174" s="53"/>
      <c r="BT174" s="53"/>
      <c r="BU174" s="53"/>
    </row>
    <row r="175" spans="15:73" x14ac:dyDescent="0.2"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3"/>
      <c r="BS175" s="53"/>
      <c r="BT175" s="53"/>
      <c r="BU175" s="53"/>
    </row>
    <row r="176" spans="15:73" x14ac:dyDescent="0.2"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  <c r="BF176" s="53"/>
      <c r="BG176" s="53"/>
      <c r="BH176" s="53"/>
      <c r="BI176" s="53"/>
      <c r="BJ176" s="53"/>
      <c r="BK176" s="53"/>
      <c r="BL176" s="53"/>
      <c r="BM176" s="53"/>
      <c r="BN176" s="53"/>
      <c r="BO176" s="53"/>
      <c r="BP176" s="53"/>
      <c r="BQ176" s="53"/>
      <c r="BR176" s="53"/>
      <c r="BS176" s="53"/>
      <c r="BT176" s="53"/>
      <c r="BU176" s="53"/>
    </row>
    <row r="177" spans="15:73" x14ac:dyDescent="0.2"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3"/>
      <c r="BS177" s="53"/>
      <c r="BT177" s="53"/>
      <c r="BU177" s="53"/>
    </row>
    <row r="178" spans="15:73" x14ac:dyDescent="0.2"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3"/>
      <c r="BG178" s="53"/>
      <c r="BH178" s="53"/>
      <c r="BI178" s="53"/>
      <c r="BJ178" s="53"/>
      <c r="BK178" s="53"/>
      <c r="BL178" s="53"/>
      <c r="BM178" s="53"/>
      <c r="BN178" s="53"/>
      <c r="BO178" s="53"/>
      <c r="BP178" s="53"/>
      <c r="BQ178" s="53"/>
      <c r="BR178" s="53"/>
      <c r="BS178" s="53"/>
      <c r="BT178" s="53"/>
      <c r="BU178" s="53"/>
    </row>
    <row r="179" spans="15:73" x14ac:dyDescent="0.2"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3"/>
      <c r="BS179" s="53"/>
      <c r="BT179" s="53"/>
      <c r="BU179" s="53"/>
    </row>
    <row r="180" spans="15:73" x14ac:dyDescent="0.2"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  <c r="BF180" s="53"/>
      <c r="BG180" s="53"/>
      <c r="BH180" s="53"/>
      <c r="BI180" s="53"/>
      <c r="BJ180" s="53"/>
      <c r="BK180" s="53"/>
      <c r="BL180" s="53"/>
      <c r="BM180" s="53"/>
      <c r="BN180" s="53"/>
      <c r="BO180" s="53"/>
      <c r="BP180" s="53"/>
      <c r="BQ180" s="53"/>
      <c r="BR180" s="53"/>
      <c r="BS180" s="53"/>
      <c r="BT180" s="53"/>
      <c r="BU180" s="53"/>
    </row>
    <row r="181" spans="15:73" x14ac:dyDescent="0.2"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  <c r="BF181" s="53"/>
      <c r="BG181" s="53"/>
      <c r="BH181" s="53"/>
      <c r="BI181" s="53"/>
      <c r="BJ181" s="53"/>
      <c r="BK181" s="53"/>
      <c r="BL181" s="53"/>
      <c r="BM181" s="53"/>
      <c r="BN181" s="53"/>
      <c r="BO181" s="53"/>
      <c r="BP181" s="53"/>
      <c r="BQ181" s="53"/>
      <c r="BR181" s="53"/>
      <c r="BS181" s="53"/>
      <c r="BT181" s="53"/>
      <c r="BU181" s="53"/>
    </row>
    <row r="182" spans="15:73" x14ac:dyDescent="0.2"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  <c r="BF182" s="53"/>
      <c r="BG182" s="53"/>
      <c r="BH182" s="53"/>
      <c r="BI182" s="53"/>
      <c r="BJ182" s="53"/>
      <c r="BK182" s="53"/>
      <c r="BL182" s="53"/>
      <c r="BM182" s="53"/>
      <c r="BN182" s="53"/>
      <c r="BO182" s="53"/>
      <c r="BP182" s="53"/>
      <c r="BQ182" s="53"/>
      <c r="BR182" s="53"/>
      <c r="BS182" s="53"/>
      <c r="BT182" s="53"/>
      <c r="BU182" s="53"/>
    </row>
    <row r="183" spans="15:73" x14ac:dyDescent="0.2"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3"/>
      <c r="BS183" s="53"/>
      <c r="BT183" s="53"/>
      <c r="BU183" s="53"/>
    </row>
    <row r="184" spans="15:73" x14ac:dyDescent="0.2"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  <c r="BF184" s="53"/>
      <c r="BG184" s="53"/>
      <c r="BH184" s="53"/>
      <c r="BI184" s="53"/>
      <c r="BJ184" s="53"/>
      <c r="BK184" s="53"/>
      <c r="BL184" s="53"/>
      <c r="BM184" s="53"/>
      <c r="BN184" s="53"/>
      <c r="BO184" s="53"/>
      <c r="BP184" s="53"/>
      <c r="BQ184" s="53"/>
      <c r="BR184" s="53"/>
      <c r="BS184" s="53"/>
      <c r="BT184" s="53"/>
      <c r="BU184" s="53"/>
    </row>
    <row r="185" spans="15:73" x14ac:dyDescent="0.2"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3"/>
      <c r="BH185" s="53"/>
      <c r="BI185" s="53"/>
      <c r="BJ185" s="53"/>
      <c r="BK185" s="53"/>
      <c r="BL185" s="53"/>
      <c r="BM185" s="53"/>
      <c r="BN185" s="53"/>
      <c r="BO185" s="53"/>
      <c r="BP185" s="53"/>
      <c r="BQ185" s="53"/>
      <c r="BR185" s="53"/>
      <c r="BS185" s="53"/>
      <c r="BT185" s="53"/>
      <c r="BU185" s="53"/>
    </row>
    <row r="186" spans="15:73" x14ac:dyDescent="0.2"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3"/>
      <c r="AV186" s="53"/>
      <c r="AW186" s="53"/>
      <c r="AX186" s="53"/>
      <c r="AY186" s="53"/>
      <c r="AZ186" s="53"/>
      <c r="BA186" s="53"/>
      <c r="BB186" s="53"/>
      <c r="BC186" s="53"/>
      <c r="BD186" s="53"/>
      <c r="BE186" s="53"/>
      <c r="BF186" s="53"/>
      <c r="BG186" s="53"/>
      <c r="BH186" s="53"/>
      <c r="BI186" s="53"/>
      <c r="BJ186" s="53"/>
      <c r="BK186" s="53"/>
      <c r="BL186" s="53"/>
      <c r="BM186" s="53"/>
      <c r="BN186" s="53"/>
      <c r="BO186" s="53"/>
      <c r="BP186" s="53"/>
      <c r="BQ186" s="53"/>
      <c r="BR186" s="53"/>
      <c r="BS186" s="53"/>
      <c r="BT186" s="53"/>
      <c r="BU186" s="53"/>
    </row>
    <row r="187" spans="15:73" x14ac:dyDescent="0.2"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3"/>
      <c r="AZ187" s="53"/>
      <c r="BA187" s="53"/>
      <c r="BB187" s="53"/>
      <c r="BC187" s="53"/>
      <c r="BD187" s="53"/>
      <c r="BE187" s="53"/>
      <c r="BF187" s="53"/>
      <c r="BG187" s="53"/>
      <c r="BH187" s="53"/>
      <c r="BI187" s="53"/>
      <c r="BJ187" s="53"/>
      <c r="BK187" s="53"/>
      <c r="BL187" s="53"/>
      <c r="BM187" s="53"/>
      <c r="BN187" s="53"/>
      <c r="BO187" s="53"/>
      <c r="BP187" s="53"/>
      <c r="BQ187" s="53"/>
      <c r="BR187" s="53"/>
      <c r="BS187" s="53"/>
      <c r="BT187" s="53"/>
      <c r="BU187" s="53"/>
    </row>
    <row r="188" spans="15:73" x14ac:dyDescent="0.2"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  <c r="AX188" s="53"/>
      <c r="AY188" s="53"/>
      <c r="AZ188" s="53"/>
      <c r="BA188" s="53"/>
      <c r="BB188" s="53"/>
      <c r="BC188" s="53"/>
      <c r="BD188" s="53"/>
      <c r="BE188" s="53"/>
      <c r="BF188" s="53"/>
      <c r="BG188" s="53"/>
      <c r="BH188" s="53"/>
      <c r="BI188" s="53"/>
      <c r="BJ188" s="53"/>
      <c r="BK188" s="53"/>
      <c r="BL188" s="53"/>
      <c r="BM188" s="53"/>
      <c r="BN188" s="53"/>
      <c r="BO188" s="53"/>
      <c r="BP188" s="53"/>
      <c r="BQ188" s="53"/>
      <c r="BR188" s="53"/>
      <c r="BS188" s="53"/>
      <c r="BT188" s="53"/>
      <c r="BU188" s="53"/>
    </row>
    <row r="189" spans="15:73" x14ac:dyDescent="0.2"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  <c r="BF189" s="53"/>
      <c r="BG189" s="53"/>
      <c r="BH189" s="53"/>
      <c r="BI189" s="53"/>
      <c r="BJ189" s="53"/>
      <c r="BK189" s="53"/>
      <c r="BL189" s="53"/>
      <c r="BM189" s="53"/>
      <c r="BN189" s="53"/>
      <c r="BO189" s="53"/>
      <c r="BP189" s="53"/>
      <c r="BQ189" s="53"/>
      <c r="BR189" s="53"/>
      <c r="BS189" s="53"/>
      <c r="BT189" s="53"/>
      <c r="BU189" s="53"/>
    </row>
    <row r="190" spans="15:73" x14ac:dyDescent="0.2"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  <c r="BF190" s="53"/>
      <c r="BG190" s="53"/>
      <c r="BH190" s="53"/>
      <c r="BI190" s="53"/>
      <c r="BJ190" s="53"/>
      <c r="BK190" s="53"/>
      <c r="BL190" s="53"/>
      <c r="BM190" s="53"/>
      <c r="BN190" s="53"/>
      <c r="BO190" s="53"/>
      <c r="BP190" s="53"/>
      <c r="BQ190" s="53"/>
      <c r="BR190" s="53"/>
      <c r="BS190" s="53"/>
      <c r="BT190" s="53"/>
      <c r="BU190" s="53"/>
    </row>
    <row r="191" spans="15:73" x14ac:dyDescent="0.2"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3"/>
      <c r="AV191" s="53"/>
      <c r="AW191" s="53"/>
      <c r="AX191" s="53"/>
      <c r="AY191" s="53"/>
      <c r="AZ191" s="53"/>
      <c r="BA191" s="53"/>
      <c r="BB191" s="53"/>
      <c r="BC191" s="53"/>
      <c r="BD191" s="53"/>
      <c r="BE191" s="53"/>
      <c r="BF191" s="53"/>
      <c r="BG191" s="53"/>
      <c r="BH191" s="53"/>
      <c r="BI191" s="53"/>
      <c r="BJ191" s="53"/>
      <c r="BK191" s="53"/>
      <c r="BL191" s="53"/>
      <c r="BM191" s="53"/>
      <c r="BN191" s="53"/>
      <c r="BO191" s="53"/>
      <c r="BP191" s="53"/>
      <c r="BQ191" s="53"/>
      <c r="BR191" s="53"/>
      <c r="BS191" s="53"/>
      <c r="BT191" s="53"/>
      <c r="BU191" s="53"/>
    </row>
    <row r="192" spans="15:73" x14ac:dyDescent="0.2"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  <c r="BE192" s="53"/>
      <c r="BF192" s="53"/>
      <c r="BG192" s="53"/>
      <c r="BH192" s="53"/>
      <c r="BI192" s="53"/>
      <c r="BJ192" s="53"/>
      <c r="BK192" s="53"/>
      <c r="BL192" s="53"/>
      <c r="BM192" s="53"/>
      <c r="BN192" s="53"/>
      <c r="BO192" s="53"/>
      <c r="BP192" s="53"/>
      <c r="BQ192" s="53"/>
      <c r="BR192" s="53"/>
      <c r="BS192" s="53"/>
      <c r="BT192" s="53"/>
      <c r="BU192" s="53"/>
    </row>
    <row r="193" spans="15:73" x14ac:dyDescent="0.2"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  <c r="BF193" s="53"/>
      <c r="BG193" s="53"/>
      <c r="BH193" s="53"/>
      <c r="BI193" s="53"/>
      <c r="BJ193" s="53"/>
      <c r="BK193" s="53"/>
      <c r="BL193" s="53"/>
      <c r="BM193" s="53"/>
      <c r="BN193" s="53"/>
      <c r="BO193" s="53"/>
      <c r="BP193" s="53"/>
      <c r="BQ193" s="53"/>
      <c r="BR193" s="53"/>
      <c r="BS193" s="53"/>
      <c r="BT193" s="53"/>
      <c r="BU193" s="53"/>
    </row>
    <row r="194" spans="15:73" x14ac:dyDescent="0.2"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  <c r="BF194" s="53"/>
      <c r="BG194" s="53"/>
      <c r="BH194" s="53"/>
      <c r="BI194" s="53"/>
      <c r="BJ194" s="53"/>
      <c r="BK194" s="53"/>
      <c r="BL194" s="53"/>
      <c r="BM194" s="53"/>
      <c r="BN194" s="53"/>
      <c r="BO194" s="53"/>
      <c r="BP194" s="53"/>
      <c r="BQ194" s="53"/>
      <c r="BR194" s="53"/>
      <c r="BS194" s="53"/>
      <c r="BT194" s="53"/>
      <c r="BU194" s="53"/>
    </row>
    <row r="195" spans="15:73" x14ac:dyDescent="0.2"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  <c r="BF195" s="53"/>
      <c r="BG195" s="53"/>
      <c r="BH195" s="53"/>
      <c r="BI195" s="53"/>
      <c r="BJ195" s="53"/>
      <c r="BK195" s="53"/>
      <c r="BL195" s="53"/>
      <c r="BM195" s="53"/>
      <c r="BN195" s="53"/>
      <c r="BO195" s="53"/>
      <c r="BP195" s="53"/>
      <c r="BQ195" s="53"/>
      <c r="BR195" s="53"/>
      <c r="BS195" s="53"/>
      <c r="BT195" s="53"/>
      <c r="BU195" s="53"/>
    </row>
    <row r="196" spans="15:73" x14ac:dyDescent="0.2"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3"/>
      <c r="AV196" s="53"/>
      <c r="AW196" s="53"/>
      <c r="AX196" s="53"/>
      <c r="AY196" s="53"/>
      <c r="AZ196" s="53"/>
      <c r="BA196" s="53"/>
      <c r="BB196" s="53"/>
      <c r="BC196" s="53"/>
      <c r="BD196" s="53"/>
      <c r="BE196" s="53"/>
      <c r="BF196" s="53"/>
      <c r="BG196" s="53"/>
      <c r="BH196" s="53"/>
      <c r="BI196" s="53"/>
      <c r="BJ196" s="53"/>
      <c r="BK196" s="53"/>
      <c r="BL196" s="53"/>
      <c r="BM196" s="53"/>
      <c r="BN196" s="53"/>
      <c r="BO196" s="53"/>
      <c r="BP196" s="53"/>
      <c r="BQ196" s="53"/>
      <c r="BR196" s="53"/>
      <c r="BS196" s="53"/>
      <c r="BT196" s="53"/>
      <c r="BU196" s="53"/>
    </row>
    <row r="197" spans="15:73" x14ac:dyDescent="0.2"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  <c r="AZ197" s="53"/>
      <c r="BA197" s="53"/>
      <c r="BB197" s="53"/>
      <c r="BC197" s="53"/>
      <c r="BD197" s="53"/>
      <c r="BE197" s="53"/>
      <c r="BF197" s="53"/>
      <c r="BG197" s="53"/>
      <c r="BH197" s="53"/>
      <c r="BI197" s="53"/>
      <c r="BJ197" s="53"/>
      <c r="BK197" s="53"/>
      <c r="BL197" s="53"/>
      <c r="BM197" s="53"/>
      <c r="BN197" s="53"/>
      <c r="BO197" s="53"/>
      <c r="BP197" s="53"/>
      <c r="BQ197" s="53"/>
      <c r="BR197" s="53"/>
      <c r="BS197" s="53"/>
      <c r="BT197" s="53"/>
      <c r="BU197" s="53"/>
    </row>
    <row r="198" spans="15:73" x14ac:dyDescent="0.2"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3"/>
      <c r="AZ198" s="53"/>
      <c r="BA198" s="53"/>
      <c r="BB198" s="53"/>
      <c r="BC198" s="53"/>
      <c r="BD198" s="53"/>
      <c r="BE198" s="53"/>
      <c r="BF198" s="53"/>
      <c r="BG198" s="53"/>
      <c r="BH198" s="53"/>
      <c r="BI198" s="53"/>
      <c r="BJ198" s="53"/>
      <c r="BK198" s="53"/>
      <c r="BL198" s="53"/>
      <c r="BM198" s="53"/>
      <c r="BN198" s="53"/>
      <c r="BO198" s="53"/>
      <c r="BP198" s="53"/>
      <c r="BQ198" s="53"/>
      <c r="BR198" s="53"/>
      <c r="BS198" s="53"/>
      <c r="BT198" s="53"/>
      <c r="BU198" s="53"/>
    </row>
    <row r="199" spans="15:73" x14ac:dyDescent="0.2"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  <c r="AW199" s="53"/>
      <c r="AX199" s="53"/>
      <c r="AY199" s="53"/>
      <c r="AZ199" s="53"/>
      <c r="BA199" s="53"/>
      <c r="BB199" s="53"/>
      <c r="BC199" s="53"/>
      <c r="BD199" s="53"/>
      <c r="BE199" s="53"/>
      <c r="BF199" s="53"/>
      <c r="BG199" s="53"/>
      <c r="BH199" s="53"/>
      <c r="BI199" s="53"/>
      <c r="BJ199" s="53"/>
      <c r="BK199" s="53"/>
      <c r="BL199" s="53"/>
      <c r="BM199" s="53"/>
      <c r="BN199" s="53"/>
      <c r="BO199" s="53"/>
      <c r="BP199" s="53"/>
      <c r="BQ199" s="53"/>
      <c r="BR199" s="53"/>
      <c r="BS199" s="53"/>
      <c r="BT199" s="53"/>
      <c r="BU199" s="53"/>
    </row>
    <row r="200" spans="15:73" x14ac:dyDescent="0.2"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  <c r="AW200" s="53"/>
      <c r="AX200" s="53"/>
      <c r="AY200" s="53"/>
      <c r="AZ200" s="53"/>
      <c r="BA200" s="53"/>
      <c r="BB200" s="53"/>
      <c r="BC200" s="53"/>
      <c r="BD200" s="53"/>
      <c r="BE200" s="53"/>
      <c r="BF200" s="53"/>
      <c r="BG200" s="53"/>
      <c r="BH200" s="53"/>
      <c r="BI200" s="53"/>
      <c r="BJ200" s="53"/>
      <c r="BK200" s="53"/>
      <c r="BL200" s="53"/>
      <c r="BM200" s="53"/>
      <c r="BN200" s="53"/>
      <c r="BO200" s="53"/>
      <c r="BP200" s="53"/>
      <c r="BQ200" s="53"/>
      <c r="BR200" s="53"/>
      <c r="BS200" s="53"/>
      <c r="BT200" s="53"/>
      <c r="BU200" s="53"/>
    </row>
    <row r="201" spans="15:73" x14ac:dyDescent="0.2"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3"/>
      <c r="AV201" s="53"/>
      <c r="AW201" s="53"/>
      <c r="AX201" s="53"/>
      <c r="AY201" s="53"/>
      <c r="AZ201" s="53"/>
      <c r="BA201" s="53"/>
      <c r="BB201" s="53"/>
      <c r="BC201" s="53"/>
      <c r="BD201" s="53"/>
      <c r="BE201" s="53"/>
      <c r="BF201" s="53"/>
      <c r="BG201" s="53"/>
      <c r="BH201" s="53"/>
      <c r="BI201" s="53"/>
      <c r="BJ201" s="53"/>
      <c r="BK201" s="53"/>
      <c r="BL201" s="53"/>
      <c r="BM201" s="53"/>
      <c r="BN201" s="53"/>
      <c r="BO201" s="53"/>
      <c r="BP201" s="53"/>
      <c r="BQ201" s="53"/>
      <c r="BR201" s="53"/>
      <c r="BS201" s="53"/>
      <c r="BT201" s="53"/>
      <c r="BU201" s="53"/>
    </row>
    <row r="202" spans="15:73" x14ac:dyDescent="0.2"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  <c r="AW202" s="53"/>
      <c r="AX202" s="53"/>
      <c r="AY202" s="53"/>
      <c r="AZ202" s="53"/>
      <c r="BA202" s="53"/>
      <c r="BB202" s="53"/>
      <c r="BC202" s="53"/>
      <c r="BD202" s="53"/>
      <c r="BE202" s="53"/>
      <c r="BF202" s="53"/>
      <c r="BG202" s="53"/>
      <c r="BH202" s="53"/>
      <c r="BI202" s="53"/>
      <c r="BJ202" s="53"/>
      <c r="BK202" s="53"/>
      <c r="BL202" s="53"/>
      <c r="BM202" s="53"/>
      <c r="BN202" s="53"/>
      <c r="BO202" s="53"/>
      <c r="BP202" s="53"/>
      <c r="BQ202" s="53"/>
      <c r="BR202" s="53"/>
      <c r="BS202" s="53"/>
      <c r="BT202" s="53"/>
      <c r="BU202" s="53"/>
    </row>
    <row r="203" spans="15:73" x14ac:dyDescent="0.2"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3"/>
      <c r="AV203" s="53"/>
      <c r="AW203" s="53"/>
      <c r="AX203" s="53"/>
      <c r="AY203" s="53"/>
      <c r="AZ203" s="53"/>
      <c r="BA203" s="53"/>
      <c r="BB203" s="53"/>
      <c r="BC203" s="53"/>
      <c r="BD203" s="53"/>
      <c r="BE203" s="53"/>
      <c r="BF203" s="53"/>
      <c r="BG203" s="53"/>
      <c r="BH203" s="53"/>
      <c r="BI203" s="53"/>
      <c r="BJ203" s="53"/>
      <c r="BK203" s="53"/>
      <c r="BL203" s="53"/>
      <c r="BM203" s="53"/>
      <c r="BN203" s="53"/>
      <c r="BO203" s="53"/>
      <c r="BP203" s="53"/>
      <c r="BQ203" s="53"/>
      <c r="BR203" s="53"/>
      <c r="BS203" s="53"/>
      <c r="BT203" s="53"/>
      <c r="BU203" s="53"/>
    </row>
    <row r="204" spans="15:73" x14ac:dyDescent="0.2"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3"/>
      <c r="AV204" s="53"/>
      <c r="AW204" s="53"/>
      <c r="AX204" s="53"/>
      <c r="AY204" s="53"/>
      <c r="AZ204" s="53"/>
      <c r="BA204" s="53"/>
      <c r="BB204" s="53"/>
      <c r="BC204" s="53"/>
      <c r="BD204" s="53"/>
      <c r="BE204" s="53"/>
      <c r="BF204" s="53"/>
      <c r="BG204" s="53"/>
      <c r="BH204" s="53"/>
      <c r="BI204" s="53"/>
      <c r="BJ204" s="53"/>
      <c r="BK204" s="53"/>
      <c r="BL204" s="53"/>
      <c r="BM204" s="53"/>
      <c r="BN204" s="53"/>
      <c r="BO204" s="53"/>
      <c r="BP204" s="53"/>
      <c r="BQ204" s="53"/>
      <c r="BR204" s="53"/>
      <c r="BS204" s="53"/>
      <c r="BT204" s="53"/>
      <c r="BU204" s="53"/>
    </row>
    <row r="205" spans="15:73" x14ac:dyDescent="0.2"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3"/>
      <c r="AV205" s="53"/>
      <c r="AW205" s="53"/>
      <c r="AX205" s="53"/>
      <c r="AY205" s="53"/>
      <c r="AZ205" s="53"/>
      <c r="BA205" s="53"/>
      <c r="BB205" s="53"/>
      <c r="BC205" s="53"/>
      <c r="BD205" s="53"/>
      <c r="BE205" s="53"/>
      <c r="BF205" s="53"/>
      <c r="BG205" s="53"/>
      <c r="BH205" s="53"/>
      <c r="BI205" s="53"/>
      <c r="BJ205" s="53"/>
      <c r="BK205" s="53"/>
      <c r="BL205" s="53"/>
      <c r="BM205" s="53"/>
      <c r="BN205" s="53"/>
      <c r="BO205" s="53"/>
      <c r="BP205" s="53"/>
      <c r="BQ205" s="53"/>
      <c r="BR205" s="53"/>
      <c r="BS205" s="53"/>
      <c r="BT205" s="53"/>
      <c r="BU205" s="53"/>
    </row>
    <row r="206" spans="15:73" x14ac:dyDescent="0.2"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53"/>
      <c r="AY206" s="53"/>
      <c r="AZ206" s="53"/>
      <c r="BA206" s="53"/>
      <c r="BB206" s="53"/>
      <c r="BC206" s="53"/>
      <c r="BD206" s="53"/>
      <c r="BE206" s="53"/>
      <c r="BF206" s="53"/>
      <c r="BG206" s="53"/>
      <c r="BH206" s="53"/>
      <c r="BI206" s="53"/>
      <c r="BJ206" s="53"/>
      <c r="BK206" s="53"/>
      <c r="BL206" s="53"/>
      <c r="BM206" s="53"/>
      <c r="BN206" s="53"/>
      <c r="BO206" s="53"/>
      <c r="BP206" s="53"/>
      <c r="BQ206" s="53"/>
      <c r="BR206" s="53"/>
      <c r="BS206" s="53"/>
      <c r="BT206" s="53"/>
      <c r="BU206" s="53"/>
    </row>
    <row r="207" spans="15:73" x14ac:dyDescent="0.2"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53"/>
      <c r="BA207" s="53"/>
      <c r="BB207" s="53"/>
      <c r="BC207" s="53"/>
      <c r="BD207" s="53"/>
      <c r="BE207" s="53"/>
      <c r="BF207" s="53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3"/>
      <c r="BS207" s="53"/>
      <c r="BT207" s="53"/>
      <c r="BU207" s="53"/>
    </row>
    <row r="208" spans="15:73" x14ac:dyDescent="0.2"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3"/>
      <c r="BS208" s="53"/>
      <c r="BT208" s="53"/>
      <c r="BU208" s="53"/>
    </row>
    <row r="209" spans="15:73" x14ac:dyDescent="0.2"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53"/>
      <c r="BS209" s="53"/>
      <c r="BT209" s="53"/>
      <c r="BU209" s="53"/>
    </row>
    <row r="210" spans="15:73" x14ac:dyDescent="0.2"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53"/>
      <c r="AY210" s="53"/>
      <c r="AZ210" s="53"/>
      <c r="BA210" s="53"/>
      <c r="BB210" s="53"/>
      <c r="BC210" s="53"/>
      <c r="BD210" s="53"/>
      <c r="BE210" s="53"/>
      <c r="BF210" s="53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53"/>
      <c r="BS210" s="53"/>
      <c r="BT210" s="53"/>
      <c r="BU210" s="53"/>
    </row>
    <row r="211" spans="15:73" x14ac:dyDescent="0.2"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53"/>
      <c r="AY211" s="53"/>
      <c r="AZ211" s="53"/>
      <c r="BA211" s="53"/>
      <c r="BB211" s="53"/>
      <c r="BC211" s="53"/>
      <c r="BD211" s="53"/>
      <c r="BE211" s="53"/>
      <c r="BF211" s="53"/>
      <c r="BG211" s="53"/>
      <c r="BH211" s="53"/>
      <c r="BI211" s="53"/>
      <c r="BJ211" s="53"/>
      <c r="BK211" s="53"/>
      <c r="BL211" s="53"/>
      <c r="BM211" s="53"/>
      <c r="BN211" s="53"/>
      <c r="BO211" s="53"/>
      <c r="BP211" s="53"/>
      <c r="BQ211" s="53"/>
      <c r="BR211" s="53"/>
      <c r="BS211" s="53"/>
      <c r="BT211" s="53"/>
      <c r="BU211" s="53"/>
    </row>
    <row r="212" spans="15:73" x14ac:dyDescent="0.2"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  <c r="AX212" s="53"/>
      <c r="AY212" s="53"/>
      <c r="AZ212" s="53"/>
      <c r="BA212" s="53"/>
      <c r="BB212" s="53"/>
      <c r="BC212" s="53"/>
      <c r="BD212" s="53"/>
      <c r="BE212" s="53"/>
      <c r="BF212" s="53"/>
      <c r="BG212" s="53"/>
      <c r="BH212" s="53"/>
      <c r="BI212" s="53"/>
      <c r="BJ212" s="53"/>
      <c r="BK212" s="53"/>
      <c r="BL212" s="53"/>
      <c r="BM212" s="53"/>
      <c r="BN212" s="53"/>
      <c r="BO212" s="53"/>
      <c r="BP212" s="53"/>
      <c r="BQ212" s="53"/>
      <c r="BR212" s="53"/>
      <c r="BS212" s="53"/>
      <c r="BT212" s="53"/>
      <c r="BU212" s="53"/>
    </row>
    <row r="213" spans="15:73" x14ac:dyDescent="0.2"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  <c r="AY213" s="53"/>
      <c r="AZ213" s="53"/>
      <c r="BA213" s="53"/>
      <c r="BB213" s="53"/>
      <c r="BC213" s="53"/>
      <c r="BD213" s="53"/>
      <c r="BE213" s="53"/>
      <c r="BF213" s="53"/>
      <c r="BG213" s="53"/>
      <c r="BH213" s="53"/>
      <c r="BI213" s="53"/>
      <c r="BJ213" s="53"/>
      <c r="BK213" s="53"/>
      <c r="BL213" s="53"/>
      <c r="BM213" s="53"/>
      <c r="BN213" s="53"/>
      <c r="BO213" s="53"/>
      <c r="BP213" s="53"/>
      <c r="BQ213" s="53"/>
      <c r="BR213" s="53"/>
      <c r="BS213" s="53"/>
      <c r="BT213" s="53"/>
      <c r="BU213" s="53"/>
    </row>
    <row r="214" spans="15:73" x14ac:dyDescent="0.2"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  <c r="AY214" s="53"/>
      <c r="AZ214" s="53"/>
      <c r="BA214" s="53"/>
      <c r="BB214" s="53"/>
      <c r="BC214" s="53"/>
      <c r="BD214" s="53"/>
      <c r="BE214" s="53"/>
      <c r="BF214" s="53"/>
      <c r="BG214" s="53"/>
      <c r="BH214" s="53"/>
      <c r="BI214" s="53"/>
      <c r="BJ214" s="53"/>
      <c r="BK214" s="53"/>
      <c r="BL214" s="53"/>
      <c r="BM214" s="53"/>
      <c r="BN214" s="53"/>
      <c r="BO214" s="53"/>
      <c r="BP214" s="53"/>
      <c r="BQ214" s="53"/>
      <c r="BR214" s="53"/>
      <c r="BS214" s="53"/>
      <c r="BT214" s="53"/>
      <c r="BU214" s="53"/>
    </row>
    <row r="215" spans="15:73" x14ac:dyDescent="0.2"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  <c r="AY215" s="53"/>
      <c r="AZ215" s="53"/>
      <c r="BA215" s="53"/>
      <c r="BB215" s="53"/>
      <c r="BC215" s="53"/>
      <c r="BD215" s="53"/>
      <c r="BE215" s="53"/>
      <c r="BF215" s="53"/>
      <c r="BG215" s="53"/>
      <c r="BH215" s="53"/>
      <c r="BI215" s="53"/>
      <c r="BJ215" s="53"/>
      <c r="BK215" s="53"/>
      <c r="BL215" s="53"/>
      <c r="BM215" s="53"/>
      <c r="BN215" s="53"/>
      <c r="BO215" s="53"/>
      <c r="BP215" s="53"/>
      <c r="BQ215" s="53"/>
      <c r="BR215" s="53"/>
      <c r="BS215" s="53"/>
      <c r="BT215" s="53"/>
      <c r="BU215" s="53"/>
    </row>
    <row r="216" spans="15:73" x14ac:dyDescent="0.2"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  <c r="AY216" s="53"/>
      <c r="AZ216" s="53"/>
      <c r="BA216" s="53"/>
      <c r="BB216" s="53"/>
      <c r="BC216" s="53"/>
      <c r="BD216" s="53"/>
      <c r="BE216" s="53"/>
      <c r="BF216" s="53"/>
      <c r="BG216" s="53"/>
      <c r="BH216" s="53"/>
      <c r="BI216" s="53"/>
      <c r="BJ216" s="53"/>
      <c r="BK216" s="53"/>
      <c r="BL216" s="53"/>
      <c r="BM216" s="53"/>
      <c r="BN216" s="53"/>
      <c r="BO216" s="53"/>
      <c r="BP216" s="53"/>
      <c r="BQ216" s="53"/>
      <c r="BR216" s="53"/>
      <c r="BS216" s="53"/>
      <c r="BT216" s="53"/>
      <c r="BU216" s="53"/>
    </row>
    <row r="217" spans="15:73" x14ac:dyDescent="0.2"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  <c r="AY217" s="53"/>
      <c r="AZ217" s="53"/>
      <c r="BA217" s="53"/>
      <c r="BB217" s="53"/>
      <c r="BC217" s="53"/>
      <c r="BD217" s="53"/>
      <c r="BE217" s="53"/>
      <c r="BF217" s="53"/>
      <c r="BG217" s="53"/>
      <c r="BH217" s="53"/>
      <c r="BI217" s="53"/>
      <c r="BJ217" s="53"/>
      <c r="BK217" s="53"/>
      <c r="BL217" s="53"/>
      <c r="BM217" s="53"/>
      <c r="BN217" s="53"/>
      <c r="BO217" s="53"/>
      <c r="BP217" s="53"/>
      <c r="BQ217" s="53"/>
      <c r="BR217" s="53"/>
      <c r="BS217" s="53"/>
      <c r="BT217" s="53"/>
      <c r="BU217" s="53"/>
    </row>
    <row r="218" spans="15:73" x14ac:dyDescent="0.2"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  <c r="AX218" s="53"/>
      <c r="AY218" s="53"/>
      <c r="AZ218" s="53"/>
      <c r="BA218" s="53"/>
      <c r="BB218" s="53"/>
      <c r="BC218" s="53"/>
      <c r="BD218" s="53"/>
      <c r="BE218" s="53"/>
      <c r="BF218" s="53"/>
      <c r="BG218" s="53"/>
      <c r="BH218" s="53"/>
      <c r="BI218" s="53"/>
      <c r="BJ218" s="53"/>
      <c r="BK218" s="53"/>
      <c r="BL218" s="53"/>
      <c r="BM218" s="53"/>
      <c r="BN218" s="53"/>
      <c r="BO218" s="53"/>
      <c r="BP218" s="53"/>
      <c r="BQ218" s="53"/>
      <c r="BR218" s="53"/>
      <c r="BS218" s="53"/>
      <c r="BT218" s="53"/>
      <c r="BU218" s="53"/>
    </row>
    <row r="219" spans="15:73" x14ac:dyDescent="0.2"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  <c r="AW219" s="53"/>
      <c r="AX219" s="53"/>
      <c r="AY219" s="53"/>
      <c r="AZ219" s="53"/>
      <c r="BA219" s="53"/>
      <c r="BB219" s="53"/>
      <c r="BC219" s="53"/>
      <c r="BD219" s="53"/>
      <c r="BE219" s="53"/>
      <c r="BF219" s="53"/>
      <c r="BG219" s="53"/>
      <c r="BH219" s="53"/>
      <c r="BI219" s="53"/>
      <c r="BJ219" s="53"/>
      <c r="BK219" s="53"/>
      <c r="BL219" s="53"/>
      <c r="BM219" s="53"/>
      <c r="BN219" s="53"/>
      <c r="BO219" s="53"/>
      <c r="BP219" s="53"/>
      <c r="BQ219" s="53"/>
      <c r="BR219" s="53"/>
      <c r="BS219" s="53"/>
      <c r="BT219" s="53"/>
      <c r="BU219" s="53"/>
    </row>
    <row r="220" spans="15:73" x14ac:dyDescent="0.2"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  <c r="AW220" s="53"/>
      <c r="AX220" s="53"/>
      <c r="AY220" s="53"/>
      <c r="AZ220" s="53"/>
      <c r="BA220" s="53"/>
      <c r="BB220" s="53"/>
      <c r="BC220" s="53"/>
      <c r="BD220" s="53"/>
      <c r="BE220" s="53"/>
      <c r="BF220" s="53"/>
      <c r="BG220" s="53"/>
      <c r="BH220" s="53"/>
      <c r="BI220" s="53"/>
      <c r="BJ220" s="53"/>
      <c r="BK220" s="53"/>
      <c r="BL220" s="53"/>
      <c r="BM220" s="53"/>
      <c r="BN220" s="53"/>
      <c r="BO220" s="53"/>
      <c r="BP220" s="53"/>
      <c r="BQ220" s="53"/>
      <c r="BR220" s="53"/>
      <c r="BS220" s="53"/>
      <c r="BT220" s="53"/>
      <c r="BU220" s="53"/>
    </row>
    <row r="221" spans="15:73" x14ac:dyDescent="0.2"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3"/>
      <c r="AV221" s="53"/>
      <c r="AW221" s="53"/>
      <c r="AX221" s="53"/>
      <c r="AY221" s="53"/>
      <c r="AZ221" s="53"/>
      <c r="BA221" s="53"/>
      <c r="BB221" s="53"/>
      <c r="BC221" s="53"/>
      <c r="BD221" s="53"/>
      <c r="BE221" s="53"/>
      <c r="BF221" s="53"/>
      <c r="BG221" s="53"/>
      <c r="BH221" s="53"/>
      <c r="BI221" s="53"/>
      <c r="BJ221" s="53"/>
      <c r="BK221" s="53"/>
      <c r="BL221" s="53"/>
      <c r="BM221" s="53"/>
      <c r="BN221" s="53"/>
      <c r="BO221" s="53"/>
      <c r="BP221" s="53"/>
      <c r="BQ221" s="53"/>
      <c r="BR221" s="53"/>
      <c r="BS221" s="53"/>
      <c r="BT221" s="53"/>
      <c r="BU221" s="53"/>
    </row>
    <row r="222" spans="15:73" x14ac:dyDescent="0.2"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3"/>
      <c r="AV222" s="53"/>
      <c r="AW222" s="53"/>
      <c r="AX222" s="53"/>
      <c r="AY222" s="53"/>
      <c r="AZ222" s="53"/>
      <c r="BA222" s="53"/>
      <c r="BB222" s="53"/>
      <c r="BC222" s="53"/>
      <c r="BD222" s="53"/>
      <c r="BE222" s="53"/>
      <c r="BF222" s="53"/>
      <c r="BG222" s="53"/>
      <c r="BH222" s="53"/>
      <c r="BI222" s="53"/>
      <c r="BJ222" s="53"/>
      <c r="BK222" s="53"/>
      <c r="BL222" s="53"/>
      <c r="BM222" s="53"/>
      <c r="BN222" s="53"/>
      <c r="BO222" s="53"/>
      <c r="BP222" s="53"/>
      <c r="BQ222" s="53"/>
      <c r="BR222" s="53"/>
      <c r="BS222" s="53"/>
      <c r="BT222" s="53"/>
      <c r="BU222" s="53"/>
    </row>
    <row r="223" spans="15:73" x14ac:dyDescent="0.2"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  <c r="BM223" s="53"/>
      <c r="BN223" s="53"/>
      <c r="BO223" s="53"/>
      <c r="BP223" s="53"/>
      <c r="BQ223" s="53"/>
      <c r="BR223" s="53"/>
      <c r="BS223" s="53"/>
      <c r="BT223" s="53"/>
      <c r="BU223" s="53"/>
    </row>
    <row r="224" spans="15:73" x14ac:dyDescent="0.2"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  <c r="BM224" s="53"/>
      <c r="BN224" s="53"/>
      <c r="BO224" s="53"/>
      <c r="BP224" s="53"/>
      <c r="BQ224" s="53"/>
      <c r="BR224" s="53"/>
      <c r="BS224" s="53"/>
      <c r="BT224" s="53"/>
      <c r="BU224" s="53"/>
    </row>
    <row r="225" spans="15:73" x14ac:dyDescent="0.2"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  <c r="BM225" s="53"/>
      <c r="BN225" s="53"/>
      <c r="BO225" s="53"/>
      <c r="BP225" s="53"/>
      <c r="BQ225" s="53"/>
      <c r="BR225" s="53"/>
      <c r="BS225" s="53"/>
      <c r="BT225" s="53"/>
      <c r="BU225" s="53"/>
    </row>
    <row r="226" spans="15:73" x14ac:dyDescent="0.2"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  <c r="BM226" s="53"/>
      <c r="BN226" s="53"/>
      <c r="BO226" s="53"/>
      <c r="BP226" s="53"/>
      <c r="BQ226" s="53"/>
      <c r="BR226" s="53"/>
      <c r="BS226" s="53"/>
      <c r="BT226" s="53"/>
      <c r="BU226" s="53"/>
    </row>
    <row r="227" spans="15:73" x14ac:dyDescent="0.2"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 s="53"/>
      <c r="BN227" s="53"/>
      <c r="BO227" s="53"/>
      <c r="BP227" s="53"/>
      <c r="BQ227" s="53"/>
      <c r="BR227" s="53"/>
      <c r="BS227" s="53"/>
      <c r="BT227" s="53"/>
      <c r="BU227" s="53"/>
    </row>
    <row r="228" spans="15:73" x14ac:dyDescent="0.2"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 s="53"/>
      <c r="BN228" s="53"/>
      <c r="BO228" s="53"/>
      <c r="BP228" s="53"/>
      <c r="BQ228" s="53"/>
      <c r="BR228" s="53"/>
      <c r="BS228" s="53"/>
      <c r="BT228" s="53"/>
      <c r="BU228" s="53"/>
    </row>
    <row r="229" spans="15:73" x14ac:dyDescent="0.2"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 s="53"/>
      <c r="BN229" s="53"/>
      <c r="BO229" s="53"/>
      <c r="BP229" s="53"/>
      <c r="BQ229" s="53"/>
      <c r="BR229" s="53"/>
      <c r="BS229" s="53"/>
      <c r="BT229" s="53"/>
      <c r="BU229" s="53"/>
    </row>
    <row r="230" spans="15:73" x14ac:dyDescent="0.2"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 s="53"/>
      <c r="BN230" s="53"/>
      <c r="BO230" s="53"/>
      <c r="BP230" s="53"/>
      <c r="BQ230" s="53"/>
      <c r="BR230" s="53"/>
      <c r="BS230" s="53"/>
      <c r="BT230" s="53"/>
      <c r="BU230" s="53"/>
    </row>
    <row r="231" spans="15:73" x14ac:dyDescent="0.2"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 s="53"/>
      <c r="BN231" s="53"/>
      <c r="BO231" s="53"/>
      <c r="BP231" s="53"/>
      <c r="BQ231" s="53"/>
      <c r="BR231" s="53"/>
      <c r="BS231" s="53"/>
      <c r="BT231" s="53"/>
      <c r="BU231" s="53"/>
    </row>
    <row r="232" spans="15:73" x14ac:dyDescent="0.2"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 s="53"/>
      <c r="BN232" s="53"/>
      <c r="BO232" s="53"/>
      <c r="BP232" s="53"/>
      <c r="BQ232" s="53"/>
      <c r="BR232" s="53"/>
      <c r="BS232" s="53"/>
      <c r="BT232" s="53"/>
      <c r="BU232" s="53"/>
    </row>
    <row r="233" spans="15:73" x14ac:dyDescent="0.2"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 s="53"/>
      <c r="BN233" s="53"/>
      <c r="BO233" s="53"/>
      <c r="BP233" s="53"/>
      <c r="BQ233" s="53"/>
      <c r="BR233" s="53"/>
      <c r="BS233" s="53"/>
      <c r="BT233" s="53"/>
      <c r="BU233" s="53"/>
    </row>
    <row r="234" spans="15:73" x14ac:dyDescent="0.2"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 s="53"/>
      <c r="BN234" s="53"/>
      <c r="BO234" s="53"/>
      <c r="BP234" s="53"/>
      <c r="BQ234" s="53"/>
      <c r="BR234" s="53"/>
      <c r="BS234" s="53"/>
      <c r="BT234" s="53"/>
      <c r="BU234" s="53"/>
    </row>
    <row r="235" spans="15:73" x14ac:dyDescent="0.2"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 s="53"/>
      <c r="BN235" s="53"/>
      <c r="BO235" s="53"/>
      <c r="BP235" s="53"/>
      <c r="BQ235" s="53"/>
      <c r="BR235" s="53"/>
      <c r="BS235" s="53"/>
      <c r="BT235" s="53"/>
      <c r="BU235" s="53"/>
    </row>
    <row r="236" spans="15:73" x14ac:dyDescent="0.2"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 s="53"/>
      <c r="BN236" s="53"/>
      <c r="BO236" s="53"/>
      <c r="BP236" s="53"/>
      <c r="BQ236" s="53"/>
      <c r="BR236" s="53"/>
      <c r="BS236" s="53"/>
      <c r="BT236" s="53"/>
      <c r="BU236" s="53"/>
    </row>
    <row r="237" spans="15:73" x14ac:dyDescent="0.2"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 s="53"/>
      <c r="BN237" s="53"/>
      <c r="BO237" s="53"/>
      <c r="BP237" s="53"/>
      <c r="BQ237" s="53"/>
      <c r="BR237" s="53"/>
      <c r="BS237" s="53"/>
      <c r="BT237" s="53"/>
      <c r="BU237" s="53"/>
    </row>
    <row r="238" spans="15:73" x14ac:dyDescent="0.2"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 s="53"/>
      <c r="BN238" s="53"/>
      <c r="BO238" s="53"/>
      <c r="BP238" s="53"/>
      <c r="BQ238" s="53"/>
      <c r="BR238" s="53"/>
      <c r="BS238" s="53"/>
      <c r="BT238" s="53"/>
      <c r="BU238" s="53"/>
    </row>
    <row r="239" spans="15:73" x14ac:dyDescent="0.2"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 s="53"/>
      <c r="BN239" s="53"/>
      <c r="BO239" s="53"/>
      <c r="BP239" s="53"/>
      <c r="BQ239" s="53"/>
      <c r="BR239" s="53"/>
      <c r="BS239" s="53"/>
      <c r="BT239" s="53"/>
      <c r="BU239" s="53"/>
    </row>
    <row r="240" spans="15:73" x14ac:dyDescent="0.2"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 s="53"/>
      <c r="BN240" s="53"/>
      <c r="BO240" s="53"/>
      <c r="BP240" s="53"/>
      <c r="BQ240" s="53"/>
      <c r="BR240" s="53"/>
      <c r="BS240" s="53"/>
      <c r="BT240" s="53"/>
      <c r="BU240" s="53"/>
    </row>
    <row r="241" spans="15:73" x14ac:dyDescent="0.2"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 s="53"/>
      <c r="BN241" s="53"/>
      <c r="BO241" s="53"/>
      <c r="BP241" s="53"/>
      <c r="BQ241" s="53"/>
      <c r="BR241" s="53"/>
      <c r="BS241" s="53"/>
      <c r="BT241" s="53"/>
      <c r="BU241" s="53"/>
    </row>
    <row r="242" spans="15:73" x14ac:dyDescent="0.2"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 s="53"/>
      <c r="BN242" s="53"/>
      <c r="BO242" s="53"/>
      <c r="BP242" s="53"/>
      <c r="BQ242" s="53"/>
      <c r="BR242" s="53"/>
      <c r="BS242" s="53"/>
      <c r="BT242" s="53"/>
      <c r="BU242" s="53"/>
    </row>
    <row r="243" spans="15:73" x14ac:dyDescent="0.2"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 s="53"/>
      <c r="BN243" s="53"/>
      <c r="BO243" s="53"/>
      <c r="BP243" s="53"/>
      <c r="BQ243" s="53"/>
      <c r="BR243" s="53"/>
      <c r="BS243" s="53"/>
      <c r="BT243" s="53"/>
      <c r="BU243" s="53"/>
    </row>
    <row r="244" spans="15:73" x14ac:dyDescent="0.2"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 s="53"/>
      <c r="BN244" s="53"/>
      <c r="BO244" s="53"/>
      <c r="BP244" s="53"/>
      <c r="BQ244" s="53"/>
      <c r="BR244" s="53"/>
      <c r="BS244" s="53"/>
      <c r="BT244" s="53"/>
      <c r="BU244" s="53"/>
    </row>
    <row r="245" spans="15:73" x14ac:dyDescent="0.2"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53"/>
      <c r="BS245" s="53"/>
      <c r="BT245" s="53"/>
      <c r="BU245" s="53"/>
    </row>
    <row r="246" spans="15:73" x14ac:dyDescent="0.2"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 s="53"/>
      <c r="BN246" s="53"/>
      <c r="BO246" s="53"/>
      <c r="BP246" s="53"/>
      <c r="BQ246" s="53"/>
      <c r="BR246" s="53"/>
      <c r="BS246" s="53"/>
      <c r="BT246" s="53"/>
      <c r="BU246" s="53"/>
    </row>
    <row r="247" spans="15:73" x14ac:dyDescent="0.2"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 s="53"/>
      <c r="BN247" s="53"/>
      <c r="BO247" s="53"/>
      <c r="BP247" s="53"/>
      <c r="BQ247" s="53"/>
      <c r="BR247" s="53"/>
      <c r="BS247" s="53"/>
      <c r="BT247" s="53"/>
      <c r="BU247" s="53"/>
    </row>
    <row r="248" spans="15:73" x14ac:dyDescent="0.2"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 s="53"/>
      <c r="BN248" s="53"/>
      <c r="BO248" s="53"/>
      <c r="BP248" s="53"/>
      <c r="BQ248" s="53"/>
      <c r="BR248" s="53"/>
      <c r="BS248" s="53"/>
      <c r="BT248" s="53"/>
      <c r="BU248" s="53"/>
    </row>
    <row r="249" spans="15:73" x14ac:dyDescent="0.2"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 s="53"/>
      <c r="BN249" s="53"/>
      <c r="BO249" s="53"/>
      <c r="BP249" s="53"/>
      <c r="BQ249" s="53"/>
      <c r="BR249" s="53"/>
      <c r="BS249" s="53"/>
      <c r="BT249" s="53"/>
      <c r="BU249" s="53"/>
    </row>
    <row r="250" spans="15:73" x14ac:dyDescent="0.2"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 s="53"/>
      <c r="BN250" s="53"/>
      <c r="BO250" s="53"/>
      <c r="BP250" s="53"/>
      <c r="BQ250" s="53"/>
      <c r="BR250" s="53"/>
      <c r="BS250" s="53"/>
      <c r="BT250" s="53"/>
      <c r="BU250" s="53"/>
    </row>
    <row r="251" spans="15:73" x14ac:dyDescent="0.2"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 s="53"/>
      <c r="BN251" s="53"/>
      <c r="BO251" s="53"/>
      <c r="BP251" s="53"/>
      <c r="BQ251" s="53"/>
      <c r="BR251" s="53"/>
      <c r="BS251" s="53"/>
      <c r="BT251" s="53"/>
      <c r="BU251" s="53"/>
    </row>
    <row r="252" spans="15:73" x14ac:dyDescent="0.2"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 s="53"/>
      <c r="BN252" s="53"/>
      <c r="BO252" s="53"/>
      <c r="BP252" s="53"/>
      <c r="BQ252" s="53"/>
      <c r="BR252" s="53"/>
      <c r="BS252" s="53"/>
      <c r="BT252" s="53"/>
      <c r="BU252" s="53"/>
    </row>
    <row r="253" spans="15:73" x14ac:dyDescent="0.2"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 s="53"/>
      <c r="BN253" s="53"/>
      <c r="BO253" s="53"/>
      <c r="BP253" s="53"/>
      <c r="BQ253" s="53"/>
      <c r="BR253" s="53"/>
      <c r="BS253" s="53"/>
      <c r="BT253" s="53"/>
      <c r="BU253" s="53"/>
    </row>
    <row r="254" spans="15:73" x14ac:dyDescent="0.2"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 s="53"/>
      <c r="BN254" s="53"/>
      <c r="BO254" s="53"/>
      <c r="BP254" s="53"/>
      <c r="BQ254" s="53"/>
      <c r="BR254" s="53"/>
      <c r="BS254" s="53"/>
      <c r="BT254" s="53"/>
      <c r="BU254" s="53"/>
    </row>
    <row r="255" spans="15:73" x14ac:dyDescent="0.2"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 s="53"/>
      <c r="BN255" s="53"/>
      <c r="BO255" s="53"/>
      <c r="BP255" s="53"/>
      <c r="BQ255" s="53"/>
      <c r="BR255" s="53"/>
      <c r="BS255" s="53"/>
      <c r="BT255" s="53"/>
      <c r="BU255" s="53"/>
    </row>
    <row r="256" spans="15:73" x14ac:dyDescent="0.2"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 s="53"/>
      <c r="BN256" s="53"/>
      <c r="BO256" s="53"/>
      <c r="BP256" s="53"/>
      <c r="BQ256" s="53"/>
      <c r="BR256" s="53"/>
      <c r="BS256" s="53"/>
      <c r="BT256" s="53"/>
      <c r="BU256" s="53"/>
    </row>
    <row r="257" spans="15:73" x14ac:dyDescent="0.2"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3"/>
      <c r="BS257" s="53"/>
      <c r="BT257" s="53"/>
      <c r="BU257" s="53"/>
    </row>
    <row r="258" spans="15:73" x14ac:dyDescent="0.2"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 s="53"/>
      <c r="BN258" s="53"/>
      <c r="BO258" s="53"/>
      <c r="BP258" s="53"/>
      <c r="BQ258" s="53"/>
      <c r="BR258" s="53"/>
      <c r="BS258" s="53"/>
      <c r="BT258" s="53"/>
      <c r="BU258" s="53"/>
    </row>
    <row r="259" spans="15:73" x14ac:dyDescent="0.2"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 s="53"/>
      <c r="BN259" s="53"/>
      <c r="BO259" s="53"/>
      <c r="BP259" s="53"/>
      <c r="BQ259" s="53"/>
      <c r="BR259" s="53"/>
      <c r="BS259" s="53"/>
      <c r="BT259" s="53"/>
      <c r="BU259" s="53"/>
    </row>
    <row r="260" spans="15:73" x14ac:dyDescent="0.2"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 s="53"/>
      <c r="BN260" s="53"/>
      <c r="BO260" s="53"/>
      <c r="BP260" s="53"/>
      <c r="BQ260" s="53"/>
      <c r="BR260" s="53"/>
      <c r="BS260" s="53"/>
      <c r="BT260" s="53"/>
      <c r="BU260" s="53"/>
    </row>
    <row r="261" spans="15:73" x14ac:dyDescent="0.2"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 s="53"/>
      <c r="BN261" s="53"/>
      <c r="BO261" s="53"/>
      <c r="BP261" s="53"/>
      <c r="BQ261" s="53"/>
      <c r="BR261" s="53"/>
      <c r="BS261" s="53"/>
      <c r="BT261" s="53"/>
      <c r="BU261" s="53"/>
    </row>
    <row r="262" spans="15:73" x14ac:dyDescent="0.2"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 s="53"/>
      <c r="BN262" s="53"/>
      <c r="BO262" s="53"/>
      <c r="BP262" s="53"/>
      <c r="BQ262" s="53"/>
      <c r="BR262" s="53"/>
      <c r="BS262" s="53"/>
      <c r="BT262" s="53"/>
      <c r="BU262" s="53"/>
    </row>
    <row r="263" spans="15:73" x14ac:dyDescent="0.2"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 s="53"/>
      <c r="BN263" s="53"/>
      <c r="BO263" s="53"/>
      <c r="BP263" s="53"/>
      <c r="BQ263" s="53"/>
      <c r="BR263" s="53"/>
      <c r="BS263" s="53"/>
      <c r="BT263" s="53"/>
      <c r="BU263" s="53"/>
    </row>
    <row r="264" spans="15:73" x14ac:dyDescent="0.2"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 s="53"/>
      <c r="BN264" s="53"/>
      <c r="BO264" s="53"/>
      <c r="BP264" s="53"/>
      <c r="BQ264" s="53"/>
      <c r="BR264" s="53"/>
      <c r="BS264" s="53"/>
      <c r="BT264" s="53"/>
      <c r="BU264" s="53"/>
    </row>
    <row r="265" spans="15:73" x14ac:dyDescent="0.2"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 s="53"/>
      <c r="BN265" s="53"/>
      <c r="BO265" s="53"/>
      <c r="BP265" s="53"/>
      <c r="BQ265" s="53"/>
      <c r="BR265" s="53"/>
      <c r="BS265" s="53"/>
      <c r="BT265" s="53"/>
      <c r="BU265" s="53"/>
    </row>
    <row r="266" spans="15:73" x14ac:dyDescent="0.2"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 s="53"/>
      <c r="BN266" s="53"/>
      <c r="BO266" s="53"/>
      <c r="BP266" s="53"/>
      <c r="BQ266" s="53"/>
      <c r="BR266" s="53"/>
      <c r="BS266" s="53"/>
      <c r="BT266" s="53"/>
      <c r="BU266" s="53"/>
    </row>
    <row r="267" spans="15:73" x14ac:dyDescent="0.2"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 s="53"/>
      <c r="BN267" s="53"/>
      <c r="BO267" s="53"/>
      <c r="BP267" s="53"/>
      <c r="BQ267" s="53"/>
      <c r="BR267" s="53"/>
      <c r="BS267" s="53"/>
      <c r="BT267" s="53"/>
      <c r="BU267" s="53"/>
    </row>
    <row r="268" spans="15:73" x14ac:dyDescent="0.2"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 s="53"/>
      <c r="BN268" s="53"/>
      <c r="BO268" s="53"/>
      <c r="BP268" s="53"/>
      <c r="BQ268" s="53"/>
      <c r="BR268" s="53"/>
      <c r="BS268" s="53"/>
      <c r="BT268" s="53"/>
      <c r="BU268" s="53"/>
    </row>
    <row r="269" spans="15:73" x14ac:dyDescent="0.2"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 s="53"/>
      <c r="BN269" s="53"/>
      <c r="BO269" s="53"/>
      <c r="BP269" s="53"/>
      <c r="BQ269" s="53"/>
      <c r="BR269" s="53"/>
      <c r="BS269" s="53"/>
      <c r="BT269" s="53"/>
      <c r="BU269" s="53"/>
    </row>
    <row r="270" spans="15:73" x14ac:dyDescent="0.2"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 s="53"/>
      <c r="BN270" s="53"/>
      <c r="BO270" s="53"/>
      <c r="BP270" s="53"/>
      <c r="BQ270" s="53"/>
      <c r="BR270" s="53"/>
      <c r="BS270" s="53"/>
      <c r="BT270" s="53"/>
      <c r="BU270" s="53"/>
    </row>
    <row r="271" spans="15:73" x14ac:dyDescent="0.2"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 s="53"/>
      <c r="BN271" s="53"/>
      <c r="BO271" s="53"/>
      <c r="BP271" s="53"/>
      <c r="BQ271" s="53"/>
      <c r="BR271" s="53"/>
      <c r="BS271" s="53"/>
      <c r="BT271" s="53"/>
      <c r="BU271" s="53"/>
    </row>
    <row r="272" spans="15:73" x14ac:dyDescent="0.2"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 s="53"/>
      <c r="BN272" s="53"/>
      <c r="BO272" s="53"/>
      <c r="BP272" s="53"/>
      <c r="BQ272" s="53"/>
      <c r="BR272" s="53"/>
      <c r="BS272" s="53"/>
      <c r="BT272" s="53"/>
      <c r="BU272" s="53"/>
    </row>
    <row r="273" spans="15:73" x14ac:dyDescent="0.2"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 s="53"/>
      <c r="BN273" s="53"/>
      <c r="BO273" s="53"/>
      <c r="BP273" s="53"/>
      <c r="BQ273" s="53"/>
      <c r="BR273" s="53"/>
      <c r="BS273" s="53"/>
      <c r="BT273" s="53"/>
      <c r="BU273" s="53"/>
    </row>
    <row r="274" spans="15:73" x14ac:dyDescent="0.2"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53"/>
      <c r="BS274" s="53"/>
      <c r="BT274" s="53"/>
      <c r="BU274" s="53"/>
    </row>
    <row r="275" spans="15:73" x14ac:dyDescent="0.2"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3"/>
      <c r="BS275" s="53"/>
      <c r="BT275" s="53"/>
      <c r="BU275" s="53"/>
    </row>
    <row r="276" spans="15:73" x14ac:dyDescent="0.2"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 s="53"/>
      <c r="BN276" s="53"/>
      <c r="BO276" s="53"/>
      <c r="BP276" s="53"/>
      <c r="BQ276" s="53"/>
      <c r="BR276" s="53"/>
      <c r="BS276" s="53"/>
      <c r="BT276" s="53"/>
      <c r="BU276" s="53"/>
    </row>
    <row r="277" spans="15:73" x14ac:dyDescent="0.2"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 s="53"/>
      <c r="BN277" s="53"/>
      <c r="BO277" s="53"/>
      <c r="BP277" s="53"/>
      <c r="BQ277" s="53"/>
      <c r="BR277" s="53"/>
      <c r="BS277" s="53"/>
      <c r="BT277" s="53"/>
      <c r="BU277" s="53"/>
    </row>
    <row r="278" spans="15:73" x14ac:dyDescent="0.2"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 s="53"/>
      <c r="BN278" s="53"/>
      <c r="BO278" s="53"/>
      <c r="BP278" s="53"/>
      <c r="BQ278" s="53"/>
      <c r="BR278" s="53"/>
      <c r="BS278" s="53"/>
      <c r="BT278" s="53"/>
      <c r="BU278" s="53"/>
    </row>
    <row r="279" spans="15:73" x14ac:dyDescent="0.2"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 s="53"/>
      <c r="BN279" s="53"/>
      <c r="BO279" s="53"/>
      <c r="BP279" s="53"/>
      <c r="BQ279" s="53"/>
      <c r="BR279" s="53"/>
      <c r="BS279" s="53"/>
      <c r="BT279" s="53"/>
      <c r="BU279" s="53"/>
    </row>
    <row r="280" spans="15:73" x14ac:dyDescent="0.2"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 s="53"/>
      <c r="BN280" s="53"/>
      <c r="BO280" s="53"/>
      <c r="BP280" s="53"/>
      <c r="BQ280" s="53"/>
      <c r="BR280" s="53"/>
      <c r="BS280" s="53"/>
      <c r="BT280" s="53"/>
      <c r="BU280" s="53"/>
    </row>
    <row r="281" spans="15:73" x14ac:dyDescent="0.2"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 s="53"/>
      <c r="BN281" s="53"/>
      <c r="BO281" s="53"/>
      <c r="BP281" s="53"/>
      <c r="BQ281" s="53"/>
      <c r="BR281" s="53"/>
      <c r="BS281" s="53"/>
      <c r="BT281" s="53"/>
      <c r="BU281" s="53"/>
    </row>
    <row r="282" spans="15:73" x14ac:dyDescent="0.2"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 s="53"/>
      <c r="BN282" s="53"/>
      <c r="BO282" s="53"/>
      <c r="BP282" s="53"/>
      <c r="BQ282" s="53"/>
      <c r="BR282" s="53"/>
      <c r="BS282" s="53"/>
      <c r="BT282" s="53"/>
      <c r="BU282" s="53"/>
    </row>
    <row r="283" spans="15:73" x14ac:dyDescent="0.2"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 s="53"/>
      <c r="BN283" s="53"/>
      <c r="BO283" s="53"/>
      <c r="BP283" s="53"/>
      <c r="BQ283" s="53"/>
      <c r="BR283" s="53"/>
      <c r="BS283" s="53"/>
      <c r="BT283" s="53"/>
      <c r="BU283" s="53"/>
    </row>
    <row r="284" spans="15:73" x14ac:dyDescent="0.2"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 s="53"/>
      <c r="BN284" s="53"/>
      <c r="BO284" s="53"/>
      <c r="BP284" s="53"/>
      <c r="BQ284" s="53"/>
      <c r="BR284" s="53"/>
      <c r="BS284" s="53"/>
      <c r="BT284" s="53"/>
      <c r="BU284" s="53"/>
    </row>
    <row r="285" spans="15:73" x14ac:dyDescent="0.2"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 s="53"/>
      <c r="BN285" s="53"/>
      <c r="BO285" s="53"/>
      <c r="BP285" s="53"/>
      <c r="BQ285" s="53"/>
      <c r="BR285" s="53"/>
      <c r="BS285" s="53"/>
      <c r="BT285" s="53"/>
      <c r="BU285" s="53"/>
    </row>
    <row r="286" spans="15:73" x14ac:dyDescent="0.2"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 s="53"/>
      <c r="BN286" s="53"/>
      <c r="BO286" s="53"/>
      <c r="BP286" s="53"/>
      <c r="BQ286" s="53"/>
      <c r="BR286" s="53"/>
      <c r="BS286" s="53"/>
      <c r="BT286" s="53"/>
      <c r="BU286" s="53"/>
    </row>
    <row r="287" spans="15:73" x14ac:dyDescent="0.2"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 s="53"/>
      <c r="BN287" s="53"/>
      <c r="BO287" s="53"/>
      <c r="BP287" s="53"/>
      <c r="BQ287" s="53"/>
      <c r="BR287" s="53"/>
      <c r="BS287" s="53"/>
      <c r="BT287" s="53"/>
      <c r="BU287" s="53"/>
    </row>
    <row r="288" spans="15:73" x14ac:dyDescent="0.2"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 s="53"/>
      <c r="BN288" s="53"/>
      <c r="BO288" s="53"/>
      <c r="BP288" s="53"/>
      <c r="BQ288" s="53"/>
      <c r="BR288" s="53"/>
      <c r="BS288" s="53"/>
      <c r="BT288" s="53"/>
      <c r="BU288" s="53"/>
    </row>
    <row r="289" spans="15:73" x14ac:dyDescent="0.2"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 s="53"/>
      <c r="BN289" s="53"/>
      <c r="BO289" s="53"/>
      <c r="BP289" s="53"/>
      <c r="BQ289" s="53"/>
      <c r="BR289" s="53"/>
      <c r="BS289" s="53"/>
      <c r="BT289" s="53"/>
      <c r="BU289" s="53"/>
    </row>
    <row r="290" spans="15:73" x14ac:dyDescent="0.2"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53"/>
      <c r="BS290" s="53"/>
      <c r="BT290" s="53"/>
      <c r="BU290" s="53"/>
    </row>
    <row r="291" spans="15:73" x14ac:dyDescent="0.2"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 s="53"/>
      <c r="BN291" s="53"/>
      <c r="BO291" s="53"/>
      <c r="BP291" s="53"/>
      <c r="BQ291" s="53"/>
      <c r="BR291" s="53"/>
      <c r="BS291" s="53"/>
      <c r="BT291" s="53"/>
      <c r="BU291" s="53"/>
    </row>
    <row r="292" spans="15:73" x14ac:dyDescent="0.2"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 s="53"/>
      <c r="BN292" s="53"/>
      <c r="BO292" s="53"/>
      <c r="BP292" s="53"/>
      <c r="BQ292" s="53"/>
      <c r="BR292" s="53"/>
      <c r="BS292" s="53"/>
      <c r="BT292" s="53"/>
      <c r="BU292" s="53"/>
    </row>
    <row r="293" spans="15:73" x14ac:dyDescent="0.2"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 s="53"/>
      <c r="BN293" s="53"/>
      <c r="BO293" s="53"/>
      <c r="BP293" s="53"/>
      <c r="BQ293" s="53"/>
      <c r="BR293" s="53"/>
      <c r="BS293" s="53"/>
      <c r="BT293" s="53"/>
      <c r="BU293" s="53"/>
    </row>
    <row r="294" spans="15:73" x14ac:dyDescent="0.2"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 s="53"/>
      <c r="BN294" s="53"/>
      <c r="BO294" s="53"/>
      <c r="BP294" s="53"/>
      <c r="BQ294" s="53"/>
      <c r="BR294" s="53"/>
      <c r="BS294" s="53"/>
      <c r="BT294" s="53"/>
      <c r="BU294" s="53"/>
    </row>
    <row r="295" spans="15:73" x14ac:dyDescent="0.2"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 s="53"/>
      <c r="BN295" s="53"/>
      <c r="BO295" s="53"/>
      <c r="BP295" s="53"/>
      <c r="BQ295" s="53"/>
      <c r="BR295" s="53"/>
      <c r="BS295" s="53"/>
      <c r="BT295" s="53"/>
      <c r="BU295" s="53"/>
    </row>
    <row r="296" spans="15:73" x14ac:dyDescent="0.2"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 s="53"/>
      <c r="BN296" s="53"/>
      <c r="BO296" s="53"/>
      <c r="BP296" s="53"/>
      <c r="BQ296" s="53"/>
      <c r="BR296" s="53"/>
      <c r="BS296" s="53"/>
      <c r="BT296" s="53"/>
      <c r="BU296" s="53"/>
    </row>
    <row r="297" spans="15:73" x14ac:dyDescent="0.2"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 s="53"/>
      <c r="BN297" s="53"/>
      <c r="BO297" s="53"/>
      <c r="BP297" s="53"/>
      <c r="BQ297" s="53"/>
      <c r="BR297" s="53"/>
      <c r="BS297" s="53"/>
      <c r="BT297" s="53"/>
      <c r="BU297" s="53"/>
    </row>
    <row r="298" spans="15:73" x14ac:dyDescent="0.2"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 s="53"/>
      <c r="BN298" s="53"/>
      <c r="BO298" s="53"/>
      <c r="BP298" s="53"/>
      <c r="BQ298" s="53"/>
      <c r="BR298" s="53"/>
      <c r="BS298" s="53"/>
      <c r="BT298" s="53"/>
      <c r="BU298" s="53"/>
    </row>
    <row r="299" spans="15:73" x14ac:dyDescent="0.2"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 s="53"/>
      <c r="BN299" s="53"/>
      <c r="BO299" s="53"/>
      <c r="BP299" s="53"/>
      <c r="BQ299" s="53"/>
      <c r="BR299" s="53"/>
      <c r="BS299" s="53"/>
      <c r="BT299" s="53"/>
      <c r="BU299" s="53"/>
    </row>
    <row r="300" spans="15:73" x14ac:dyDescent="0.2"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 s="53"/>
      <c r="BN300" s="53"/>
      <c r="BO300" s="53"/>
      <c r="BP300" s="53"/>
      <c r="BQ300" s="53"/>
      <c r="BR300" s="53"/>
      <c r="BS300" s="53"/>
      <c r="BT300" s="53"/>
      <c r="BU300" s="53"/>
    </row>
    <row r="301" spans="15:73" x14ac:dyDescent="0.2"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 s="53"/>
      <c r="BN301" s="53"/>
      <c r="BO301" s="53"/>
      <c r="BP301" s="53"/>
      <c r="BQ301" s="53"/>
      <c r="BR301" s="53"/>
      <c r="BS301" s="53"/>
      <c r="BT301" s="53"/>
      <c r="BU301" s="53"/>
    </row>
    <row r="302" spans="15:73" x14ac:dyDescent="0.2"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 s="53"/>
      <c r="BN302" s="53"/>
      <c r="BO302" s="53"/>
      <c r="BP302" s="53"/>
      <c r="BQ302" s="53"/>
      <c r="BR302" s="53"/>
      <c r="BS302" s="53"/>
      <c r="BT302" s="53"/>
      <c r="BU302" s="53"/>
    </row>
    <row r="303" spans="15:73" x14ac:dyDescent="0.2"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 s="53"/>
      <c r="BN303" s="53"/>
      <c r="BO303" s="53"/>
      <c r="BP303" s="53"/>
      <c r="BQ303" s="53"/>
      <c r="BR303" s="53"/>
      <c r="BS303" s="53"/>
      <c r="BT303" s="53"/>
      <c r="BU303" s="53"/>
    </row>
    <row r="304" spans="15:73" x14ac:dyDescent="0.2"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 s="53"/>
      <c r="BN304" s="53"/>
      <c r="BO304" s="53"/>
      <c r="BP304" s="53"/>
      <c r="BQ304" s="53"/>
      <c r="BR304" s="53"/>
      <c r="BS304" s="53"/>
      <c r="BT304" s="53"/>
      <c r="BU304" s="53"/>
    </row>
    <row r="305" spans="15:73" x14ac:dyDescent="0.2"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3"/>
      <c r="BS305" s="53"/>
      <c r="BT305" s="53"/>
      <c r="BU305" s="53"/>
    </row>
    <row r="306" spans="15:73" x14ac:dyDescent="0.2"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 s="53"/>
      <c r="BN306" s="53"/>
      <c r="BO306" s="53"/>
      <c r="BP306" s="53"/>
      <c r="BQ306" s="53"/>
      <c r="BR306" s="53"/>
      <c r="BS306" s="53"/>
      <c r="BT306" s="53"/>
      <c r="BU306" s="53"/>
    </row>
    <row r="307" spans="15:73" x14ac:dyDescent="0.2"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 s="53"/>
      <c r="BN307" s="53"/>
      <c r="BO307" s="53"/>
      <c r="BP307" s="53"/>
      <c r="BQ307" s="53"/>
      <c r="BR307" s="53"/>
      <c r="BS307" s="53"/>
      <c r="BT307" s="53"/>
      <c r="BU307" s="53"/>
    </row>
    <row r="308" spans="15:73" x14ac:dyDescent="0.2"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 s="53"/>
      <c r="BN308" s="53"/>
      <c r="BO308" s="53"/>
      <c r="BP308" s="53"/>
      <c r="BQ308" s="53"/>
      <c r="BR308" s="53"/>
      <c r="BS308" s="53"/>
      <c r="BT308" s="53"/>
      <c r="BU308" s="53"/>
    </row>
    <row r="309" spans="15:73" x14ac:dyDescent="0.2"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 s="53"/>
      <c r="BN309" s="53"/>
      <c r="BO309" s="53"/>
      <c r="BP309" s="53"/>
      <c r="BQ309" s="53"/>
      <c r="BR309" s="53"/>
      <c r="BS309" s="53"/>
      <c r="BT309" s="53"/>
      <c r="BU309" s="53"/>
    </row>
    <row r="310" spans="15:73" x14ac:dyDescent="0.2"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 s="53"/>
      <c r="BN310" s="53"/>
      <c r="BO310" s="53"/>
      <c r="BP310" s="53"/>
      <c r="BQ310" s="53"/>
      <c r="BR310" s="53"/>
      <c r="BS310" s="53"/>
      <c r="BT310" s="53"/>
      <c r="BU310" s="53"/>
    </row>
    <row r="311" spans="15:73" x14ac:dyDescent="0.2"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 s="53"/>
      <c r="BN311" s="53"/>
      <c r="BO311" s="53"/>
      <c r="BP311" s="53"/>
      <c r="BQ311" s="53"/>
      <c r="BR311" s="53"/>
      <c r="BS311" s="53"/>
      <c r="BT311" s="53"/>
      <c r="BU311" s="53"/>
    </row>
    <row r="312" spans="15:73" x14ac:dyDescent="0.2"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 s="53"/>
      <c r="BN312" s="53"/>
      <c r="BO312" s="53"/>
      <c r="BP312" s="53"/>
      <c r="BQ312" s="53"/>
      <c r="BR312" s="53"/>
      <c r="BS312" s="53"/>
      <c r="BT312" s="53"/>
      <c r="BU312" s="53"/>
    </row>
    <row r="313" spans="15:73" x14ac:dyDescent="0.2"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 s="53"/>
      <c r="BN313" s="53"/>
      <c r="BO313" s="53"/>
      <c r="BP313" s="53"/>
      <c r="BQ313" s="53"/>
      <c r="BR313" s="53"/>
      <c r="BS313" s="53"/>
      <c r="BT313" s="53"/>
      <c r="BU313" s="53"/>
    </row>
    <row r="314" spans="15:73" x14ac:dyDescent="0.2"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 s="53"/>
      <c r="BN314" s="53"/>
      <c r="BO314" s="53"/>
      <c r="BP314" s="53"/>
      <c r="BQ314" s="53"/>
      <c r="BR314" s="53"/>
      <c r="BS314" s="53"/>
      <c r="BT314" s="53"/>
      <c r="BU314" s="53"/>
    </row>
    <row r="315" spans="15:73" x14ac:dyDescent="0.2"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 s="53"/>
      <c r="BN315" s="53"/>
      <c r="BO315" s="53"/>
      <c r="BP315" s="53"/>
      <c r="BQ315" s="53"/>
      <c r="BR315" s="53"/>
      <c r="BS315" s="53"/>
      <c r="BT315" s="53"/>
      <c r="BU315" s="53"/>
    </row>
    <row r="316" spans="15:73" x14ac:dyDescent="0.2"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 s="53"/>
      <c r="BN316" s="53"/>
      <c r="BO316" s="53"/>
      <c r="BP316" s="53"/>
      <c r="BQ316" s="53"/>
      <c r="BR316" s="53"/>
      <c r="BS316" s="53"/>
      <c r="BT316" s="53"/>
      <c r="BU316" s="53"/>
    </row>
    <row r="317" spans="15:73" x14ac:dyDescent="0.2"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 s="53"/>
      <c r="BN317" s="53"/>
      <c r="BO317" s="53"/>
      <c r="BP317" s="53"/>
      <c r="BQ317" s="53"/>
      <c r="BR317" s="53"/>
      <c r="BS317" s="53"/>
      <c r="BT317" s="53"/>
      <c r="BU317" s="53"/>
    </row>
    <row r="318" spans="15:73" x14ac:dyDescent="0.2"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3"/>
      <c r="BS318" s="53"/>
      <c r="BT318" s="53"/>
      <c r="BU318" s="53"/>
    </row>
    <row r="319" spans="15:73" x14ac:dyDescent="0.2"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 s="53"/>
      <c r="BN319" s="53"/>
      <c r="BO319" s="53"/>
      <c r="BP319" s="53"/>
      <c r="BQ319" s="53"/>
      <c r="BR319" s="53"/>
      <c r="BS319" s="53"/>
      <c r="BT319" s="53"/>
      <c r="BU319" s="53"/>
    </row>
    <row r="320" spans="15:73" x14ac:dyDescent="0.2"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 s="53"/>
      <c r="BN320" s="53"/>
      <c r="BO320" s="53"/>
      <c r="BP320" s="53"/>
      <c r="BQ320" s="53"/>
      <c r="BR320" s="53"/>
      <c r="BS320" s="53"/>
      <c r="BT320" s="53"/>
      <c r="BU320" s="53"/>
    </row>
    <row r="321" spans="15:73" x14ac:dyDescent="0.2"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 s="53"/>
      <c r="BN321" s="53"/>
      <c r="BO321" s="53"/>
      <c r="BP321" s="53"/>
      <c r="BQ321" s="53"/>
      <c r="BR321" s="53"/>
      <c r="BS321" s="53"/>
      <c r="BT321" s="53"/>
      <c r="BU321" s="53"/>
    </row>
    <row r="322" spans="15:73" x14ac:dyDescent="0.2"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 s="53"/>
      <c r="BN322" s="53"/>
      <c r="BO322" s="53"/>
      <c r="BP322" s="53"/>
      <c r="BQ322" s="53"/>
      <c r="BR322" s="53"/>
      <c r="BS322" s="53"/>
      <c r="BT322" s="53"/>
      <c r="BU322" s="53"/>
    </row>
    <row r="323" spans="15:73" x14ac:dyDescent="0.2"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 s="53"/>
      <c r="BN323" s="53"/>
      <c r="BO323" s="53"/>
      <c r="BP323" s="53"/>
      <c r="BQ323" s="53"/>
      <c r="BR323" s="53"/>
      <c r="BS323" s="53"/>
      <c r="BT323" s="53"/>
      <c r="BU323" s="53"/>
    </row>
    <row r="324" spans="15:73" x14ac:dyDescent="0.2"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 s="53"/>
      <c r="BN324" s="53"/>
      <c r="BO324" s="53"/>
      <c r="BP324" s="53"/>
      <c r="BQ324" s="53"/>
      <c r="BR324" s="53"/>
      <c r="BS324" s="53"/>
      <c r="BT324" s="53"/>
      <c r="BU324" s="53"/>
    </row>
    <row r="325" spans="15:73" x14ac:dyDescent="0.2"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 s="53"/>
      <c r="BN325" s="53"/>
      <c r="BO325" s="53"/>
      <c r="BP325" s="53"/>
      <c r="BQ325" s="53"/>
      <c r="BR325" s="53"/>
      <c r="BS325" s="53"/>
      <c r="BT325" s="53"/>
      <c r="BU325" s="53"/>
    </row>
    <row r="326" spans="15:73" x14ac:dyDescent="0.2"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 s="53"/>
      <c r="BN326" s="53"/>
      <c r="BO326" s="53"/>
      <c r="BP326" s="53"/>
      <c r="BQ326" s="53"/>
      <c r="BR326" s="53"/>
      <c r="BS326" s="53"/>
      <c r="BT326" s="53"/>
      <c r="BU326" s="53"/>
    </row>
    <row r="327" spans="15:73" x14ac:dyDescent="0.2"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 s="53"/>
      <c r="BN327" s="53"/>
      <c r="BO327" s="53"/>
      <c r="BP327" s="53"/>
      <c r="BQ327" s="53"/>
      <c r="BR327" s="53"/>
      <c r="BS327" s="53"/>
      <c r="BT327" s="53"/>
      <c r="BU327" s="53"/>
    </row>
    <row r="328" spans="15:73" x14ac:dyDescent="0.2"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 s="53"/>
      <c r="BN328" s="53"/>
      <c r="BO328" s="53"/>
      <c r="BP328" s="53"/>
      <c r="BQ328" s="53"/>
      <c r="BR328" s="53"/>
      <c r="BS328" s="53"/>
      <c r="BT328" s="53"/>
      <c r="BU328" s="53"/>
    </row>
    <row r="329" spans="15:73" x14ac:dyDescent="0.2"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 s="53"/>
      <c r="BN329" s="53"/>
      <c r="BO329" s="53"/>
      <c r="BP329" s="53"/>
      <c r="BQ329" s="53"/>
      <c r="BR329" s="53"/>
      <c r="BS329" s="53"/>
      <c r="BT329" s="53"/>
      <c r="BU329" s="53"/>
    </row>
    <row r="330" spans="15:73" x14ac:dyDescent="0.2"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 s="53"/>
      <c r="BN330" s="53"/>
      <c r="BO330" s="53"/>
      <c r="BP330" s="53"/>
      <c r="BQ330" s="53"/>
      <c r="BR330" s="53"/>
      <c r="BS330" s="53"/>
      <c r="BT330" s="53"/>
      <c r="BU330" s="53"/>
    </row>
    <row r="331" spans="15:73" x14ac:dyDescent="0.2"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 s="53"/>
      <c r="BN331" s="53"/>
      <c r="BO331" s="53"/>
      <c r="BP331" s="53"/>
      <c r="BQ331" s="53"/>
      <c r="BR331" s="53"/>
      <c r="BS331" s="53"/>
      <c r="BT331" s="53"/>
      <c r="BU331" s="53"/>
    </row>
    <row r="332" spans="15:73" x14ac:dyDescent="0.2"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 s="53"/>
      <c r="BN332" s="53"/>
      <c r="BO332" s="53"/>
      <c r="BP332" s="53"/>
      <c r="BQ332" s="53"/>
      <c r="BR332" s="53"/>
      <c r="BS332" s="53"/>
      <c r="BT332" s="53"/>
      <c r="BU332" s="53"/>
    </row>
    <row r="333" spans="15:73" x14ac:dyDescent="0.2"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 s="53"/>
      <c r="BN333" s="53"/>
      <c r="BO333" s="53"/>
      <c r="BP333" s="53"/>
      <c r="BQ333" s="53"/>
      <c r="BR333" s="53"/>
      <c r="BS333" s="53"/>
      <c r="BT333" s="53"/>
      <c r="BU333" s="53"/>
    </row>
    <row r="334" spans="15:73" x14ac:dyDescent="0.2"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 s="53"/>
      <c r="BN334" s="53"/>
      <c r="BO334" s="53"/>
      <c r="BP334" s="53"/>
      <c r="BQ334" s="53"/>
      <c r="BR334" s="53"/>
      <c r="BS334" s="53"/>
      <c r="BT334" s="53"/>
      <c r="BU334" s="53"/>
    </row>
    <row r="335" spans="15:73" x14ac:dyDescent="0.2"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 s="53"/>
      <c r="BN335" s="53"/>
      <c r="BO335" s="53"/>
      <c r="BP335" s="53"/>
      <c r="BQ335" s="53"/>
      <c r="BR335" s="53"/>
      <c r="BS335" s="53"/>
      <c r="BT335" s="53"/>
      <c r="BU335" s="53"/>
    </row>
    <row r="336" spans="15:73" x14ac:dyDescent="0.2"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 s="53"/>
      <c r="BN336" s="53"/>
      <c r="BO336" s="53"/>
      <c r="BP336" s="53"/>
      <c r="BQ336" s="53"/>
      <c r="BR336" s="53"/>
      <c r="BS336" s="53"/>
      <c r="BT336" s="53"/>
      <c r="BU336" s="53"/>
    </row>
    <row r="337" spans="15:73" x14ac:dyDescent="0.2"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 s="53"/>
      <c r="BN337" s="53"/>
      <c r="BO337" s="53"/>
      <c r="BP337" s="53"/>
      <c r="BQ337" s="53"/>
      <c r="BR337" s="53"/>
      <c r="BS337" s="53"/>
      <c r="BT337" s="53"/>
      <c r="BU337" s="53"/>
    </row>
    <row r="338" spans="15:73" x14ac:dyDescent="0.2"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3"/>
      <c r="BS338" s="53"/>
      <c r="BT338" s="53"/>
      <c r="BU338" s="53"/>
    </row>
    <row r="339" spans="15:73" x14ac:dyDescent="0.2"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 s="53"/>
      <c r="BN339" s="53"/>
      <c r="BO339" s="53"/>
      <c r="BP339" s="53"/>
      <c r="BQ339" s="53"/>
      <c r="BR339" s="53"/>
      <c r="BS339" s="53"/>
      <c r="BT339" s="53"/>
      <c r="BU339" s="53"/>
    </row>
    <row r="340" spans="15:73" x14ac:dyDescent="0.2"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 s="53"/>
      <c r="BN340" s="53"/>
      <c r="BO340" s="53"/>
      <c r="BP340" s="53"/>
      <c r="BQ340" s="53"/>
      <c r="BR340" s="53"/>
      <c r="BS340" s="53"/>
      <c r="BT340" s="53"/>
      <c r="BU340" s="53"/>
    </row>
    <row r="341" spans="15:73" x14ac:dyDescent="0.2"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 s="53"/>
      <c r="BN341" s="53"/>
      <c r="BO341" s="53"/>
      <c r="BP341" s="53"/>
      <c r="BQ341" s="53"/>
      <c r="BR341" s="53"/>
      <c r="BS341" s="53"/>
      <c r="BT341" s="53"/>
      <c r="BU341" s="53"/>
    </row>
    <row r="342" spans="15:73" x14ac:dyDescent="0.2"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53"/>
      <c r="BS342" s="53"/>
      <c r="BT342" s="53"/>
      <c r="BU342" s="53"/>
    </row>
    <row r="343" spans="15:73" x14ac:dyDescent="0.2"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 s="53"/>
      <c r="BN343" s="53"/>
      <c r="BO343" s="53"/>
      <c r="BP343" s="53"/>
      <c r="BQ343" s="53"/>
      <c r="BR343" s="53"/>
      <c r="BS343" s="53"/>
      <c r="BT343" s="53"/>
      <c r="BU343" s="53"/>
    </row>
    <row r="344" spans="15:73" x14ac:dyDescent="0.2"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 s="53"/>
      <c r="BN344" s="53"/>
      <c r="BO344" s="53"/>
      <c r="BP344" s="53"/>
      <c r="BQ344" s="53"/>
      <c r="BR344" s="53"/>
      <c r="BS344" s="53"/>
      <c r="BT344" s="53"/>
      <c r="BU344" s="53"/>
    </row>
    <row r="345" spans="15:73" x14ac:dyDescent="0.2"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 s="53"/>
      <c r="BN345" s="53"/>
      <c r="BO345" s="53"/>
      <c r="BP345" s="53"/>
      <c r="BQ345" s="53"/>
      <c r="BR345" s="53"/>
      <c r="BS345" s="53"/>
      <c r="BT345" s="53"/>
      <c r="BU345" s="53"/>
    </row>
    <row r="346" spans="15:73" x14ac:dyDescent="0.2"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 s="53"/>
      <c r="BN346" s="53"/>
      <c r="BO346" s="53"/>
      <c r="BP346" s="53"/>
      <c r="BQ346" s="53"/>
      <c r="BR346" s="53"/>
      <c r="BS346" s="53"/>
      <c r="BT346" s="53"/>
      <c r="BU346" s="53"/>
    </row>
    <row r="347" spans="15:73" x14ac:dyDescent="0.2"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 s="53"/>
      <c r="BN347" s="53"/>
      <c r="BO347" s="53"/>
      <c r="BP347" s="53"/>
      <c r="BQ347" s="53"/>
      <c r="BR347" s="53"/>
      <c r="BS347" s="53"/>
      <c r="BT347" s="53"/>
      <c r="BU347" s="53"/>
    </row>
    <row r="348" spans="15:73" x14ac:dyDescent="0.2"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 s="53"/>
      <c r="BN348" s="53"/>
      <c r="BO348" s="53"/>
      <c r="BP348" s="53"/>
      <c r="BQ348" s="53"/>
      <c r="BR348" s="53"/>
      <c r="BS348" s="53"/>
      <c r="BT348" s="53"/>
      <c r="BU348" s="53"/>
    </row>
    <row r="349" spans="15:73" x14ac:dyDescent="0.2"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 s="53"/>
      <c r="BN349" s="53"/>
      <c r="BO349" s="53"/>
      <c r="BP349" s="53"/>
      <c r="BQ349" s="53"/>
      <c r="BR349" s="53"/>
      <c r="BS349" s="53"/>
      <c r="BT349" s="53"/>
      <c r="BU349" s="53"/>
    </row>
    <row r="350" spans="15:73" x14ac:dyDescent="0.2"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 s="53"/>
      <c r="BN350" s="53"/>
      <c r="BO350" s="53"/>
      <c r="BP350" s="53"/>
      <c r="BQ350" s="53"/>
      <c r="BR350" s="53"/>
      <c r="BS350" s="53"/>
      <c r="BT350" s="53"/>
      <c r="BU350" s="53"/>
    </row>
    <row r="351" spans="15:73" x14ac:dyDescent="0.2"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 s="53"/>
      <c r="BN351" s="53"/>
      <c r="BO351" s="53"/>
      <c r="BP351" s="53"/>
      <c r="BQ351" s="53"/>
      <c r="BR351" s="53"/>
      <c r="BS351" s="53"/>
      <c r="BT351" s="53"/>
      <c r="BU351" s="53"/>
    </row>
    <row r="352" spans="15:73" x14ac:dyDescent="0.2"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 s="53"/>
      <c r="BN352" s="53"/>
      <c r="BO352" s="53"/>
      <c r="BP352" s="53"/>
      <c r="BQ352" s="53"/>
      <c r="BR352" s="53"/>
      <c r="BS352" s="53"/>
      <c r="BT352" s="53"/>
      <c r="BU352" s="53"/>
    </row>
    <row r="353" spans="15:73" x14ac:dyDescent="0.2"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 s="53"/>
      <c r="BN353" s="53"/>
      <c r="BO353" s="53"/>
      <c r="BP353" s="53"/>
      <c r="BQ353" s="53"/>
      <c r="BR353" s="53"/>
      <c r="BS353" s="53"/>
      <c r="BT353" s="53"/>
      <c r="BU353" s="53"/>
    </row>
    <row r="354" spans="15:73" x14ac:dyDescent="0.2"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 s="53"/>
      <c r="BN354" s="53"/>
      <c r="BO354" s="53"/>
      <c r="BP354" s="53"/>
      <c r="BQ354" s="53"/>
      <c r="BR354" s="53"/>
      <c r="BS354" s="53"/>
      <c r="BT354" s="53"/>
      <c r="BU354" s="53"/>
    </row>
    <row r="355" spans="15:73" x14ac:dyDescent="0.2"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 s="53"/>
      <c r="BN355" s="53"/>
      <c r="BO355" s="53"/>
      <c r="BP355" s="53"/>
      <c r="BQ355" s="53"/>
      <c r="BR355" s="53"/>
      <c r="BS355" s="53"/>
      <c r="BT355" s="53"/>
      <c r="BU355" s="53"/>
    </row>
    <row r="356" spans="15:73" x14ac:dyDescent="0.2"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 s="53"/>
      <c r="BN356" s="53"/>
      <c r="BO356" s="53"/>
      <c r="BP356" s="53"/>
      <c r="BQ356" s="53"/>
      <c r="BR356" s="53"/>
      <c r="BS356" s="53"/>
      <c r="BT356" s="53"/>
      <c r="BU356" s="53"/>
    </row>
    <row r="357" spans="15:73" x14ac:dyDescent="0.2"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3"/>
      <c r="BS357" s="53"/>
      <c r="BT357" s="53"/>
      <c r="BU357" s="53"/>
    </row>
    <row r="358" spans="15:73" x14ac:dyDescent="0.2"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 s="53"/>
      <c r="BN358" s="53"/>
      <c r="BO358" s="53"/>
      <c r="BP358" s="53"/>
      <c r="BQ358" s="53"/>
      <c r="BR358" s="53"/>
      <c r="BS358" s="53"/>
      <c r="BT358" s="53"/>
      <c r="BU358" s="53"/>
    </row>
    <row r="359" spans="15:73" x14ac:dyDescent="0.2"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 s="53"/>
      <c r="BN359" s="53"/>
      <c r="BO359" s="53"/>
      <c r="BP359" s="53"/>
      <c r="BQ359" s="53"/>
      <c r="BR359" s="53"/>
      <c r="BS359" s="53"/>
      <c r="BT359" s="53"/>
      <c r="BU359" s="53"/>
    </row>
    <row r="360" spans="15:73" x14ac:dyDescent="0.2"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 s="53"/>
      <c r="BN360" s="53"/>
      <c r="BO360" s="53"/>
      <c r="BP360" s="53"/>
      <c r="BQ360" s="53"/>
      <c r="BR360" s="53"/>
      <c r="BS360" s="53"/>
      <c r="BT360" s="53"/>
      <c r="BU360" s="53"/>
    </row>
    <row r="361" spans="15:73" x14ac:dyDescent="0.2"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 s="53"/>
      <c r="BN361" s="53"/>
      <c r="BO361" s="53"/>
      <c r="BP361" s="53"/>
      <c r="BQ361" s="53"/>
      <c r="BR361" s="53"/>
      <c r="BS361" s="53"/>
      <c r="BT361" s="53"/>
      <c r="BU361" s="53"/>
    </row>
    <row r="362" spans="15:73" x14ac:dyDescent="0.2"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 s="53"/>
      <c r="BN362" s="53"/>
      <c r="BO362" s="53"/>
      <c r="BP362" s="53"/>
      <c r="BQ362" s="53"/>
      <c r="BR362" s="53"/>
      <c r="BS362" s="53"/>
      <c r="BT362" s="53"/>
      <c r="BU362" s="53"/>
    </row>
    <row r="363" spans="15:73" x14ac:dyDescent="0.2"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 s="53"/>
      <c r="BN363" s="53"/>
      <c r="BO363" s="53"/>
      <c r="BP363" s="53"/>
      <c r="BQ363" s="53"/>
      <c r="BR363" s="53"/>
      <c r="BS363" s="53"/>
      <c r="BT363" s="53"/>
      <c r="BU363" s="53"/>
    </row>
    <row r="364" spans="15:73" x14ac:dyDescent="0.2"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 s="53"/>
      <c r="BN364" s="53"/>
      <c r="BO364" s="53"/>
      <c r="BP364" s="53"/>
      <c r="BQ364" s="53"/>
      <c r="BR364" s="53"/>
      <c r="BS364" s="53"/>
      <c r="BT364" s="53"/>
      <c r="BU364" s="53"/>
    </row>
    <row r="365" spans="15:73" x14ac:dyDescent="0.2"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 s="53"/>
      <c r="BN365" s="53"/>
      <c r="BO365" s="53"/>
      <c r="BP365" s="53"/>
      <c r="BQ365" s="53"/>
      <c r="BR365" s="53"/>
      <c r="BS365" s="53"/>
      <c r="BT365" s="53"/>
      <c r="BU365" s="53"/>
    </row>
    <row r="366" spans="15:73" x14ac:dyDescent="0.2"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 s="53"/>
      <c r="BN366" s="53"/>
      <c r="BO366" s="53"/>
      <c r="BP366" s="53"/>
      <c r="BQ366" s="53"/>
      <c r="BR366" s="53"/>
      <c r="BS366" s="53"/>
      <c r="BT366" s="53"/>
      <c r="BU366" s="53"/>
    </row>
    <row r="367" spans="15:73" x14ac:dyDescent="0.2"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 s="53"/>
      <c r="BN367" s="53"/>
      <c r="BO367" s="53"/>
      <c r="BP367" s="53"/>
      <c r="BQ367" s="53"/>
      <c r="BR367" s="53"/>
      <c r="BS367" s="53"/>
      <c r="BT367" s="53"/>
      <c r="BU367" s="53"/>
    </row>
    <row r="368" spans="15:73" x14ac:dyDescent="0.2"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 s="53"/>
      <c r="BN368" s="53"/>
      <c r="BO368" s="53"/>
      <c r="BP368" s="53"/>
      <c r="BQ368" s="53"/>
      <c r="BR368" s="53"/>
      <c r="BS368" s="53"/>
      <c r="BT368" s="53"/>
      <c r="BU368" s="53"/>
    </row>
    <row r="369" spans="15:73" x14ac:dyDescent="0.2"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 s="53"/>
      <c r="BN369" s="53"/>
      <c r="BO369" s="53"/>
      <c r="BP369" s="53"/>
      <c r="BQ369" s="53"/>
      <c r="BR369" s="53"/>
      <c r="BS369" s="53"/>
      <c r="BT369" s="53"/>
      <c r="BU369" s="53"/>
    </row>
    <row r="370" spans="15:73" x14ac:dyDescent="0.2"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 s="53"/>
      <c r="BN370" s="53"/>
      <c r="BO370" s="53"/>
      <c r="BP370" s="53"/>
      <c r="BQ370" s="53"/>
      <c r="BR370" s="53"/>
      <c r="BS370" s="53"/>
      <c r="BT370" s="53"/>
      <c r="BU370" s="53"/>
    </row>
    <row r="371" spans="15:73" x14ac:dyDescent="0.2"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3"/>
      <c r="BS371" s="53"/>
      <c r="BT371" s="53"/>
      <c r="BU371" s="53"/>
    </row>
    <row r="372" spans="15:73" x14ac:dyDescent="0.2"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 s="53"/>
      <c r="BN372" s="53"/>
      <c r="BO372" s="53"/>
      <c r="BP372" s="53"/>
      <c r="BQ372" s="53"/>
      <c r="BR372" s="53"/>
      <c r="BS372" s="53"/>
      <c r="BT372" s="53"/>
      <c r="BU372" s="53"/>
    </row>
    <row r="373" spans="15:73" x14ac:dyDescent="0.2"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 s="53"/>
      <c r="BN373" s="53"/>
      <c r="BO373" s="53"/>
      <c r="BP373" s="53"/>
      <c r="BQ373" s="53"/>
      <c r="BR373" s="53"/>
      <c r="BS373" s="53"/>
      <c r="BT373" s="53"/>
      <c r="BU373" s="53"/>
    </row>
    <row r="374" spans="15:73" x14ac:dyDescent="0.2"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 s="53"/>
      <c r="BN374" s="53"/>
      <c r="BO374" s="53"/>
      <c r="BP374" s="53"/>
      <c r="BQ374" s="53"/>
      <c r="BR374" s="53"/>
      <c r="BS374" s="53"/>
      <c r="BT374" s="53"/>
      <c r="BU374" s="53"/>
    </row>
    <row r="375" spans="15:73" x14ac:dyDescent="0.2"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 s="53"/>
      <c r="BN375" s="53"/>
      <c r="BO375" s="53"/>
      <c r="BP375" s="53"/>
      <c r="BQ375" s="53"/>
      <c r="BR375" s="53"/>
      <c r="BS375" s="53"/>
      <c r="BT375" s="53"/>
      <c r="BU375" s="53"/>
    </row>
    <row r="376" spans="15:73" x14ac:dyDescent="0.2"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 s="53"/>
      <c r="BN376" s="53"/>
      <c r="BO376" s="53"/>
      <c r="BP376" s="53"/>
      <c r="BQ376" s="53"/>
      <c r="BR376" s="53"/>
      <c r="BS376" s="53"/>
      <c r="BT376" s="53"/>
      <c r="BU376" s="53"/>
    </row>
    <row r="377" spans="15:73" x14ac:dyDescent="0.2"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 s="53"/>
      <c r="BN377" s="53"/>
      <c r="BO377" s="53"/>
      <c r="BP377" s="53"/>
      <c r="BQ377" s="53"/>
      <c r="BR377" s="53"/>
      <c r="BS377" s="53"/>
      <c r="BT377" s="53"/>
      <c r="BU377" s="53"/>
    </row>
    <row r="378" spans="15:73" x14ac:dyDescent="0.2"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 s="53"/>
      <c r="BN378" s="53"/>
      <c r="BO378" s="53"/>
      <c r="BP378" s="53"/>
      <c r="BQ378" s="53"/>
      <c r="BR378" s="53"/>
      <c r="BS378" s="53"/>
      <c r="BT378" s="53"/>
      <c r="BU378" s="53"/>
    </row>
    <row r="379" spans="15:73" x14ac:dyDescent="0.2"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 s="53"/>
      <c r="BN379" s="53"/>
      <c r="BO379" s="53"/>
      <c r="BP379" s="53"/>
      <c r="BQ379" s="53"/>
      <c r="BR379" s="53"/>
      <c r="BS379" s="53"/>
      <c r="BT379" s="53"/>
      <c r="BU379" s="53"/>
    </row>
    <row r="380" spans="15:73" x14ac:dyDescent="0.2"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 s="53"/>
      <c r="BN380" s="53"/>
      <c r="BO380" s="53"/>
      <c r="BP380" s="53"/>
      <c r="BQ380" s="53"/>
      <c r="BR380" s="53"/>
      <c r="BS380" s="53"/>
      <c r="BT380" s="53"/>
      <c r="BU380" s="53"/>
    </row>
    <row r="381" spans="15:73" x14ac:dyDescent="0.2"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 s="53"/>
      <c r="BN381" s="53"/>
      <c r="BO381" s="53"/>
      <c r="BP381" s="53"/>
      <c r="BQ381" s="53"/>
      <c r="BR381" s="53"/>
      <c r="BS381" s="53"/>
      <c r="BT381" s="53"/>
      <c r="BU381" s="53"/>
    </row>
    <row r="382" spans="15:73" x14ac:dyDescent="0.2"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 s="53"/>
      <c r="BN382" s="53"/>
      <c r="BO382" s="53"/>
      <c r="BP382" s="53"/>
      <c r="BQ382" s="53"/>
      <c r="BR382" s="53"/>
      <c r="BS382" s="53"/>
      <c r="BT382" s="53"/>
      <c r="BU382" s="53"/>
    </row>
    <row r="383" spans="15:73" x14ac:dyDescent="0.2"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  <c r="BQ383" s="53"/>
      <c r="BR383" s="53"/>
      <c r="BS383" s="53"/>
      <c r="BT383" s="53"/>
      <c r="BU383" s="53"/>
    </row>
    <row r="384" spans="15:73" x14ac:dyDescent="0.2"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 s="53"/>
      <c r="BN384" s="53"/>
      <c r="BO384" s="53"/>
      <c r="BP384" s="53"/>
      <c r="BQ384" s="53"/>
      <c r="BR384" s="53"/>
      <c r="BS384" s="53"/>
      <c r="BT384" s="53"/>
      <c r="BU384" s="53"/>
    </row>
    <row r="385" spans="15:73" x14ac:dyDescent="0.2"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 s="53"/>
      <c r="BN385" s="53"/>
      <c r="BO385" s="53"/>
      <c r="BP385" s="53"/>
      <c r="BQ385" s="53"/>
      <c r="BR385" s="53"/>
      <c r="BS385" s="53"/>
      <c r="BT385" s="53"/>
      <c r="BU385" s="53"/>
    </row>
    <row r="386" spans="15:73" x14ac:dyDescent="0.2"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 s="53"/>
      <c r="BN386" s="53"/>
      <c r="BO386" s="53"/>
      <c r="BP386" s="53"/>
      <c r="BQ386" s="53"/>
      <c r="BR386" s="53"/>
      <c r="BS386" s="53"/>
      <c r="BT386" s="53"/>
      <c r="BU386" s="53"/>
    </row>
    <row r="387" spans="15:73" x14ac:dyDescent="0.2"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3"/>
      <c r="BS387" s="53"/>
      <c r="BT387" s="53"/>
      <c r="BU387" s="53"/>
    </row>
    <row r="388" spans="15:73" x14ac:dyDescent="0.2"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 s="53"/>
      <c r="BN388" s="53"/>
      <c r="BO388" s="53"/>
      <c r="BP388" s="53"/>
      <c r="BQ388" s="53"/>
      <c r="BR388" s="53"/>
      <c r="BS388" s="53"/>
      <c r="BT388" s="53"/>
      <c r="BU388" s="53"/>
    </row>
    <row r="389" spans="15:73" x14ac:dyDescent="0.2"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53"/>
      <c r="BS389" s="53"/>
      <c r="BT389" s="53"/>
      <c r="BU389" s="53"/>
    </row>
    <row r="390" spans="15:73" x14ac:dyDescent="0.2"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 s="53"/>
      <c r="BN390" s="53"/>
      <c r="BO390" s="53"/>
      <c r="BP390" s="53"/>
      <c r="BQ390" s="53"/>
      <c r="BR390" s="53"/>
      <c r="BS390" s="53"/>
      <c r="BT390" s="53"/>
      <c r="BU390" s="53"/>
    </row>
    <row r="391" spans="15:73" x14ac:dyDescent="0.2"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53"/>
      <c r="BS391" s="53"/>
      <c r="BT391" s="53"/>
      <c r="BU391" s="53"/>
    </row>
    <row r="392" spans="15:73" x14ac:dyDescent="0.2"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53"/>
      <c r="BS392" s="53"/>
      <c r="BT392" s="53"/>
      <c r="BU392" s="53"/>
    </row>
    <row r="393" spans="15:73" x14ac:dyDescent="0.2"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53"/>
      <c r="BS393" s="53"/>
      <c r="BT393" s="53"/>
      <c r="BU393" s="53"/>
    </row>
    <row r="394" spans="15:73" x14ac:dyDescent="0.2"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3"/>
      <c r="BS394" s="53"/>
      <c r="BT394" s="53"/>
      <c r="BU394" s="53"/>
    </row>
    <row r="395" spans="15:73" x14ac:dyDescent="0.2"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 s="53"/>
      <c r="BN395" s="53"/>
      <c r="BO395" s="53"/>
      <c r="BP395" s="53"/>
      <c r="BQ395" s="53"/>
      <c r="BR395" s="53"/>
      <c r="BS395" s="53"/>
      <c r="BT395" s="53"/>
      <c r="BU395" s="53"/>
    </row>
    <row r="396" spans="15:73" x14ac:dyDescent="0.2"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53"/>
      <c r="BS396" s="53"/>
      <c r="BT396" s="53"/>
      <c r="BU396" s="53"/>
    </row>
    <row r="397" spans="15:73" x14ac:dyDescent="0.2"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 s="53"/>
      <c r="BN397" s="53"/>
      <c r="BO397" s="53"/>
      <c r="BP397" s="53"/>
      <c r="BQ397" s="53"/>
      <c r="BR397" s="53"/>
      <c r="BS397" s="53"/>
      <c r="BT397" s="53"/>
      <c r="BU397" s="53"/>
    </row>
    <row r="398" spans="15:73" x14ac:dyDescent="0.2"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 s="53"/>
      <c r="BN398" s="53"/>
      <c r="BO398" s="53"/>
      <c r="BP398" s="53"/>
      <c r="BQ398" s="53"/>
      <c r="BR398" s="53"/>
      <c r="BS398" s="53"/>
      <c r="BT398" s="53"/>
      <c r="BU398" s="53"/>
    </row>
    <row r="399" spans="15:73" x14ac:dyDescent="0.2"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 s="53"/>
      <c r="BN399" s="53"/>
      <c r="BO399" s="53"/>
      <c r="BP399" s="53"/>
      <c r="BQ399" s="53"/>
      <c r="BR399" s="53"/>
      <c r="BS399" s="53"/>
      <c r="BT399" s="53"/>
      <c r="BU399" s="53"/>
    </row>
    <row r="400" spans="15:73" x14ac:dyDescent="0.2"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 s="53"/>
      <c r="BN400" s="53"/>
      <c r="BO400" s="53"/>
      <c r="BP400" s="53"/>
      <c r="BQ400" s="53"/>
      <c r="BR400" s="53"/>
      <c r="BS400" s="53"/>
      <c r="BT400" s="53"/>
      <c r="BU400" s="53"/>
    </row>
    <row r="401" spans="15:73" x14ac:dyDescent="0.2"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 s="53"/>
      <c r="BN401" s="53"/>
      <c r="BO401" s="53"/>
      <c r="BP401" s="53"/>
      <c r="BQ401" s="53"/>
      <c r="BR401" s="53"/>
      <c r="BS401" s="53"/>
      <c r="BT401" s="53"/>
      <c r="BU401" s="53"/>
    </row>
    <row r="402" spans="15:73" x14ac:dyDescent="0.2"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 s="53"/>
      <c r="BN402" s="53"/>
      <c r="BO402" s="53"/>
      <c r="BP402" s="53"/>
      <c r="BQ402" s="53"/>
      <c r="BR402" s="53"/>
      <c r="BS402" s="53"/>
      <c r="BT402" s="53"/>
      <c r="BU402" s="53"/>
    </row>
    <row r="403" spans="15:73" x14ac:dyDescent="0.2"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3"/>
      <c r="BS403" s="53"/>
      <c r="BT403" s="53"/>
      <c r="BU403" s="53"/>
    </row>
    <row r="404" spans="15:73" x14ac:dyDescent="0.2"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 s="53"/>
      <c r="BN404" s="53"/>
      <c r="BO404" s="53"/>
      <c r="BP404" s="53"/>
      <c r="BQ404" s="53"/>
      <c r="BR404" s="53"/>
      <c r="BS404" s="53"/>
      <c r="BT404" s="53"/>
      <c r="BU404" s="53"/>
    </row>
    <row r="405" spans="15:73" x14ac:dyDescent="0.2"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 s="53"/>
      <c r="BN405" s="53"/>
      <c r="BO405" s="53"/>
      <c r="BP405" s="53"/>
      <c r="BQ405" s="53"/>
      <c r="BR405" s="53"/>
      <c r="BS405" s="53"/>
      <c r="BT405" s="53"/>
      <c r="BU405" s="53"/>
    </row>
    <row r="406" spans="15:73" x14ac:dyDescent="0.2"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 s="53"/>
      <c r="BN406" s="53"/>
      <c r="BO406" s="53"/>
      <c r="BP406" s="53"/>
      <c r="BQ406" s="53"/>
      <c r="BR406" s="53"/>
      <c r="BS406" s="53"/>
      <c r="BT406" s="53"/>
      <c r="BU406" s="53"/>
    </row>
    <row r="407" spans="15:73" x14ac:dyDescent="0.2"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 s="53"/>
      <c r="BN407" s="53"/>
      <c r="BO407" s="53"/>
      <c r="BP407" s="53"/>
      <c r="BQ407" s="53"/>
      <c r="BR407" s="53"/>
      <c r="BS407" s="53"/>
      <c r="BT407" s="53"/>
      <c r="BU407" s="53"/>
    </row>
    <row r="408" spans="15:73" x14ac:dyDescent="0.2"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53"/>
      <c r="BS408" s="53"/>
      <c r="BT408" s="53"/>
      <c r="BU408" s="53"/>
    </row>
    <row r="409" spans="15:73" x14ac:dyDescent="0.2"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 s="53"/>
      <c r="BN409" s="53"/>
      <c r="BO409" s="53"/>
      <c r="BP409" s="53"/>
      <c r="BQ409" s="53"/>
      <c r="BR409" s="53"/>
      <c r="BS409" s="53"/>
      <c r="BT409" s="53"/>
      <c r="BU409" s="53"/>
    </row>
    <row r="410" spans="15:73" x14ac:dyDescent="0.2"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 s="53"/>
      <c r="BN410" s="53"/>
      <c r="BO410" s="53"/>
      <c r="BP410" s="53"/>
      <c r="BQ410" s="53"/>
      <c r="BR410" s="53"/>
      <c r="BS410" s="53"/>
      <c r="BT410" s="53"/>
      <c r="BU410" s="53"/>
    </row>
    <row r="411" spans="15:73" x14ac:dyDescent="0.2"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 s="53"/>
      <c r="BN411" s="53"/>
      <c r="BO411" s="53"/>
      <c r="BP411" s="53"/>
      <c r="BQ411" s="53"/>
      <c r="BR411" s="53"/>
      <c r="BS411" s="53"/>
      <c r="BT411" s="53"/>
      <c r="BU411" s="53"/>
    </row>
    <row r="412" spans="15:73" x14ac:dyDescent="0.2"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 s="53"/>
      <c r="BN412" s="53"/>
      <c r="BO412" s="53"/>
      <c r="BP412" s="53"/>
      <c r="BQ412" s="53"/>
      <c r="BR412" s="53"/>
      <c r="BS412" s="53"/>
      <c r="BT412" s="53"/>
      <c r="BU412" s="53"/>
    </row>
    <row r="413" spans="15:73" x14ac:dyDescent="0.2"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 s="53"/>
      <c r="BN413" s="53"/>
      <c r="BO413" s="53"/>
      <c r="BP413" s="53"/>
      <c r="BQ413" s="53"/>
      <c r="BR413" s="53"/>
      <c r="BS413" s="53"/>
      <c r="BT413" s="53"/>
      <c r="BU413" s="53"/>
    </row>
    <row r="414" spans="15:73" x14ac:dyDescent="0.2"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 s="53"/>
      <c r="BN414" s="53"/>
      <c r="BO414" s="53"/>
      <c r="BP414" s="53"/>
      <c r="BQ414" s="53"/>
      <c r="BR414" s="53"/>
      <c r="BS414" s="53"/>
      <c r="BT414" s="53"/>
      <c r="BU414" s="53"/>
    </row>
    <row r="415" spans="15:73" x14ac:dyDescent="0.2"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3"/>
      <c r="BS415" s="53"/>
      <c r="BT415" s="53"/>
      <c r="BU415" s="53"/>
    </row>
    <row r="416" spans="15:73" x14ac:dyDescent="0.2"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 s="53"/>
      <c r="BN416" s="53"/>
      <c r="BO416" s="53"/>
      <c r="BP416" s="53"/>
      <c r="BQ416" s="53"/>
      <c r="BR416" s="53"/>
      <c r="BS416" s="53"/>
      <c r="BT416" s="53"/>
      <c r="BU416" s="53"/>
    </row>
    <row r="417" spans="15:73" x14ac:dyDescent="0.2"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 s="53"/>
      <c r="BN417" s="53"/>
      <c r="BO417" s="53"/>
      <c r="BP417" s="53"/>
      <c r="BQ417" s="53"/>
      <c r="BR417" s="53"/>
      <c r="BS417" s="53"/>
      <c r="BT417" s="53"/>
      <c r="BU417" s="53"/>
    </row>
    <row r="418" spans="15:73" x14ac:dyDescent="0.2"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 s="53"/>
      <c r="BN418" s="53"/>
      <c r="BO418" s="53"/>
      <c r="BP418" s="53"/>
      <c r="BQ418" s="53"/>
      <c r="BR418" s="53"/>
      <c r="BS418" s="53"/>
      <c r="BT418" s="53"/>
      <c r="BU418" s="53"/>
    </row>
    <row r="419" spans="15:73" x14ac:dyDescent="0.2"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 s="53"/>
      <c r="BN419" s="53"/>
      <c r="BO419" s="53"/>
      <c r="BP419" s="53"/>
      <c r="BQ419" s="53"/>
      <c r="BR419" s="53"/>
      <c r="BS419" s="53"/>
      <c r="BT419" s="53"/>
      <c r="BU419" s="53"/>
    </row>
    <row r="420" spans="15:73" x14ac:dyDescent="0.2"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 s="53"/>
      <c r="BN420" s="53"/>
      <c r="BO420" s="53"/>
      <c r="BP420" s="53"/>
      <c r="BQ420" s="53"/>
      <c r="BR420" s="53"/>
      <c r="BS420" s="53"/>
      <c r="BT420" s="53"/>
      <c r="BU420" s="53"/>
    </row>
    <row r="421" spans="15:73" x14ac:dyDescent="0.2"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 s="53"/>
      <c r="BN421" s="53"/>
      <c r="BO421" s="53"/>
      <c r="BP421" s="53"/>
      <c r="BQ421" s="53"/>
      <c r="BR421" s="53"/>
      <c r="BS421" s="53"/>
      <c r="BT421" s="53"/>
      <c r="BU421" s="53"/>
    </row>
    <row r="422" spans="15:73" x14ac:dyDescent="0.2"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3"/>
      <c r="BS422" s="53"/>
      <c r="BT422" s="53"/>
      <c r="BU422" s="53"/>
    </row>
    <row r="423" spans="15:73" x14ac:dyDescent="0.2"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 s="53"/>
      <c r="BN423" s="53"/>
      <c r="BO423" s="53"/>
      <c r="BP423" s="53"/>
      <c r="BQ423" s="53"/>
      <c r="BR423" s="53"/>
      <c r="BS423" s="53"/>
      <c r="BT423" s="53"/>
      <c r="BU423" s="53"/>
    </row>
    <row r="424" spans="15:73" x14ac:dyDescent="0.2"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 s="53"/>
      <c r="BN424" s="53"/>
      <c r="BO424" s="53"/>
      <c r="BP424" s="53"/>
      <c r="BQ424" s="53"/>
      <c r="BR424" s="53"/>
      <c r="BS424" s="53"/>
      <c r="BT424" s="53"/>
      <c r="BU424" s="53"/>
    </row>
    <row r="425" spans="15:73" x14ac:dyDescent="0.2"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 s="53"/>
      <c r="BN425" s="53"/>
      <c r="BO425" s="53"/>
      <c r="BP425" s="53"/>
      <c r="BQ425" s="53"/>
      <c r="BR425" s="53"/>
      <c r="BS425" s="53"/>
      <c r="BT425" s="53"/>
      <c r="BU425" s="53"/>
    </row>
    <row r="426" spans="15:73" x14ac:dyDescent="0.2"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3"/>
      <c r="BS426" s="53"/>
      <c r="BT426" s="53"/>
      <c r="BU426" s="53"/>
    </row>
    <row r="427" spans="15:73" x14ac:dyDescent="0.2"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 s="53"/>
      <c r="BN427" s="53"/>
      <c r="BO427" s="53"/>
      <c r="BP427" s="53"/>
      <c r="BQ427" s="53"/>
      <c r="BR427" s="53"/>
      <c r="BS427" s="53"/>
      <c r="BT427" s="53"/>
      <c r="BU427" s="53"/>
    </row>
    <row r="428" spans="15:73" x14ac:dyDescent="0.2"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 s="53"/>
      <c r="BN428" s="53"/>
      <c r="BO428" s="53"/>
      <c r="BP428" s="53"/>
      <c r="BQ428" s="53"/>
      <c r="BR428" s="53"/>
      <c r="BS428" s="53"/>
      <c r="BT428" s="53"/>
      <c r="BU428" s="53"/>
    </row>
    <row r="429" spans="15:73" x14ac:dyDescent="0.2"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 s="53"/>
      <c r="BN429" s="53"/>
      <c r="BO429" s="53"/>
      <c r="BP429" s="53"/>
      <c r="BQ429" s="53"/>
      <c r="BR429" s="53"/>
      <c r="BS429" s="53"/>
      <c r="BT429" s="53"/>
      <c r="BU429" s="53"/>
    </row>
    <row r="430" spans="15:73" x14ac:dyDescent="0.2"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 s="53"/>
      <c r="BN430" s="53"/>
      <c r="BO430" s="53"/>
      <c r="BP430" s="53"/>
      <c r="BQ430" s="53"/>
      <c r="BR430" s="53"/>
      <c r="BS430" s="53"/>
      <c r="BT430" s="53"/>
      <c r="BU430" s="53"/>
    </row>
    <row r="431" spans="15:73" x14ac:dyDescent="0.2"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3"/>
      <c r="BS431" s="53"/>
      <c r="BT431" s="53"/>
      <c r="BU431" s="53"/>
    </row>
    <row r="432" spans="15:73" x14ac:dyDescent="0.2"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 s="53"/>
      <c r="BN432" s="53"/>
      <c r="BO432" s="53"/>
      <c r="BP432" s="53"/>
      <c r="BQ432" s="53"/>
      <c r="BR432" s="53"/>
      <c r="BS432" s="53"/>
      <c r="BT432" s="53"/>
      <c r="BU432" s="53"/>
    </row>
    <row r="433" spans="15:73" x14ac:dyDescent="0.2"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 s="53"/>
      <c r="BN433" s="53"/>
      <c r="BO433" s="53"/>
      <c r="BP433" s="53"/>
      <c r="BQ433" s="53"/>
      <c r="BR433" s="53"/>
      <c r="BS433" s="53"/>
      <c r="BT433" s="53"/>
      <c r="BU433" s="53"/>
    </row>
    <row r="434" spans="15:73" x14ac:dyDescent="0.2"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 s="53"/>
      <c r="BN434" s="53"/>
      <c r="BO434" s="53"/>
      <c r="BP434" s="53"/>
      <c r="BQ434" s="53"/>
      <c r="BR434" s="53"/>
      <c r="BS434" s="53"/>
      <c r="BT434" s="53"/>
      <c r="BU434" s="53"/>
    </row>
    <row r="435" spans="15:73" x14ac:dyDescent="0.2"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 s="53"/>
      <c r="BN435" s="53"/>
      <c r="BO435" s="53"/>
      <c r="BP435" s="53"/>
      <c r="BQ435" s="53"/>
      <c r="BR435" s="53"/>
      <c r="BS435" s="53"/>
      <c r="BT435" s="53"/>
      <c r="BU435" s="53"/>
    </row>
    <row r="436" spans="15:73" x14ac:dyDescent="0.2"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 s="53"/>
      <c r="BN436" s="53"/>
      <c r="BO436" s="53"/>
      <c r="BP436" s="53"/>
      <c r="BQ436" s="53"/>
      <c r="BR436" s="53"/>
      <c r="BS436" s="53"/>
      <c r="BT436" s="53"/>
      <c r="BU436" s="53"/>
    </row>
    <row r="437" spans="15:73" x14ac:dyDescent="0.2"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 s="53"/>
      <c r="BN437" s="53"/>
      <c r="BO437" s="53"/>
      <c r="BP437" s="53"/>
      <c r="BQ437" s="53"/>
      <c r="BR437" s="53"/>
      <c r="BS437" s="53"/>
      <c r="BT437" s="53"/>
      <c r="BU437" s="53"/>
    </row>
    <row r="438" spans="15:73" x14ac:dyDescent="0.2"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 s="53"/>
      <c r="BN438" s="53"/>
      <c r="BO438" s="53"/>
      <c r="BP438" s="53"/>
      <c r="BQ438" s="53"/>
      <c r="BR438" s="53"/>
      <c r="BS438" s="53"/>
      <c r="BT438" s="53"/>
      <c r="BU438" s="53"/>
    </row>
    <row r="439" spans="15:73" x14ac:dyDescent="0.2"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 s="53"/>
      <c r="BN439" s="53"/>
      <c r="BO439" s="53"/>
      <c r="BP439" s="53"/>
      <c r="BQ439" s="53"/>
      <c r="BR439" s="53"/>
      <c r="BS439" s="53"/>
      <c r="BT439" s="53"/>
      <c r="BU439" s="53"/>
    </row>
    <row r="440" spans="15:73" x14ac:dyDescent="0.2"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 s="53"/>
      <c r="BN440" s="53"/>
      <c r="BO440" s="53"/>
      <c r="BP440" s="53"/>
      <c r="BQ440" s="53"/>
      <c r="BR440" s="53"/>
      <c r="BS440" s="53"/>
      <c r="BT440" s="53"/>
      <c r="BU440" s="53"/>
    </row>
    <row r="441" spans="15:73" x14ac:dyDescent="0.2"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 s="53"/>
      <c r="BN441" s="53"/>
      <c r="BO441" s="53"/>
      <c r="BP441" s="53"/>
      <c r="BQ441" s="53"/>
      <c r="BR441" s="53"/>
      <c r="BS441" s="53"/>
      <c r="BT441" s="53"/>
      <c r="BU441" s="53"/>
    </row>
    <row r="442" spans="15:73" x14ac:dyDescent="0.2"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 s="53"/>
      <c r="BN442" s="53"/>
      <c r="BO442" s="53"/>
      <c r="BP442" s="53"/>
      <c r="BQ442" s="53"/>
      <c r="BR442" s="53"/>
      <c r="BS442" s="53"/>
      <c r="BT442" s="53"/>
      <c r="BU442" s="53"/>
    </row>
    <row r="443" spans="15:73" x14ac:dyDescent="0.2"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 s="53"/>
      <c r="BN443" s="53"/>
      <c r="BO443" s="53"/>
      <c r="BP443" s="53"/>
      <c r="BQ443" s="53"/>
      <c r="BR443" s="53"/>
      <c r="BS443" s="53"/>
      <c r="BT443" s="53"/>
      <c r="BU443" s="53"/>
    </row>
    <row r="444" spans="15:73" x14ac:dyDescent="0.2"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 s="53"/>
      <c r="BN444" s="53"/>
      <c r="BO444" s="53"/>
      <c r="BP444" s="53"/>
      <c r="BQ444" s="53"/>
      <c r="BR444" s="53"/>
      <c r="BS444" s="53"/>
      <c r="BT444" s="53"/>
      <c r="BU444" s="53"/>
    </row>
    <row r="445" spans="15:73" x14ac:dyDescent="0.2"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 s="53"/>
      <c r="BN445" s="53"/>
      <c r="BO445" s="53"/>
      <c r="BP445" s="53"/>
      <c r="BQ445" s="53"/>
      <c r="BR445" s="53"/>
      <c r="BS445" s="53"/>
      <c r="BT445" s="53"/>
      <c r="BU445" s="53"/>
    </row>
    <row r="446" spans="15:73" x14ac:dyDescent="0.2"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 s="53"/>
      <c r="BN446" s="53"/>
      <c r="BO446" s="53"/>
      <c r="BP446" s="53"/>
      <c r="BQ446" s="53"/>
      <c r="BR446" s="53"/>
      <c r="BS446" s="53"/>
      <c r="BT446" s="53"/>
      <c r="BU446" s="53"/>
    </row>
    <row r="447" spans="15:73" x14ac:dyDescent="0.2"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 s="53"/>
      <c r="BN447" s="53"/>
      <c r="BO447" s="53"/>
      <c r="BP447" s="53"/>
      <c r="BQ447" s="53"/>
      <c r="BR447" s="53"/>
      <c r="BS447" s="53"/>
      <c r="BT447" s="53"/>
      <c r="BU447" s="53"/>
    </row>
    <row r="448" spans="15:73" x14ac:dyDescent="0.2"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53"/>
      <c r="BR448" s="53"/>
      <c r="BS448" s="53"/>
      <c r="BT448" s="53"/>
      <c r="BU448" s="53"/>
    </row>
    <row r="449" spans="15:73" x14ac:dyDescent="0.2"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 s="53"/>
      <c r="BN449" s="53"/>
      <c r="BO449" s="53"/>
      <c r="BP449" s="53"/>
      <c r="BQ449" s="53"/>
      <c r="BR449" s="53"/>
      <c r="BS449" s="53"/>
      <c r="BT449" s="53"/>
      <c r="BU449" s="53"/>
    </row>
    <row r="450" spans="15:73" x14ac:dyDescent="0.2"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 s="53"/>
      <c r="BN450" s="53"/>
      <c r="BO450" s="53"/>
      <c r="BP450" s="53"/>
      <c r="BQ450" s="53"/>
      <c r="BR450" s="53"/>
      <c r="BS450" s="53"/>
      <c r="BT450" s="53"/>
      <c r="BU450" s="53"/>
    </row>
    <row r="451" spans="15:73" x14ac:dyDescent="0.2"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 s="53"/>
      <c r="BN451" s="53"/>
      <c r="BO451" s="53"/>
      <c r="BP451" s="53"/>
      <c r="BQ451" s="53"/>
      <c r="BR451" s="53"/>
      <c r="BS451" s="53"/>
      <c r="BT451" s="53"/>
      <c r="BU451" s="53"/>
    </row>
    <row r="452" spans="15:73" x14ac:dyDescent="0.2"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 s="53"/>
      <c r="BN452" s="53"/>
      <c r="BO452" s="53"/>
      <c r="BP452" s="53"/>
      <c r="BQ452" s="53"/>
      <c r="BR452" s="53"/>
      <c r="BS452" s="53"/>
      <c r="BT452" s="53"/>
      <c r="BU452" s="53"/>
    </row>
    <row r="453" spans="15:73" x14ac:dyDescent="0.2"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 s="53"/>
      <c r="BN453" s="53"/>
      <c r="BO453" s="53"/>
      <c r="BP453" s="53"/>
      <c r="BQ453" s="53"/>
      <c r="BR453" s="53"/>
      <c r="BS453" s="53"/>
      <c r="BT453" s="53"/>
      <c r="BU453" s="53"/>
    </row>
    <row r="454" spans="15:73" x14ac:dyDescent="0.2"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 s="53"/>
      <c r="BN454" s="53"/>
      <c r="BO454" s="53"/>
      <c r="BP454" s="53"/>
      <c r="BQ454" s="53"/>
      <c r="BR454" s="53"/>
      <c r="BS454" s="53"/>
      <c r="BT454" s="53"/>
      <c r="BU454" s="53"/>
    </row>
    <row r="455" spans="15:73" x14ac:dyDescent="0.2"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 s="53"/>
      <c r="BN455" s="53"/>
      <c r="BO455" s="53"/>
      <c r="BP455" s="53"/>
      <c r="BQ455" s="53"/>
      <c r="BR455" s="53"/>
      <c r="BS455" s="53"/>
      <c r="BT455" s="53"/>
      <c r="BU455" s="53"/>
    </row>
    <row r="456" spans="15:73" x14ac:dyDescent="0.2"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 s="53"/>
      <c r="BN456" s="53"/>
      <c r="BO456" s="53"/>
      <c r="BP456" s="53"/>
      <c r="BQ456" s="53"/>
      <c r="BR456" s="53"/>
      <c r="BS456" s="53"/>
      <c r="BT456" s="53"/>
      <c r="BU456" s="53"/>
    </row>
    <row r="457" spans="15:73" x14ac:dyDescent="0.2"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 s="53"/>
      <c r="BN457" s="53"/>
      <c r="BO457" s="53"/>
      <c r="BP457" s="53"/>
      <c r="BQ457" s="53"/>
      <c r="BR457" s="53"/>
      <c r="BS457" s="53"/>
      <c r="BT457" s="53"/>
      <c r="BU457" s="53"/>
    </row>
    <row r="458" spans="15:73" x14ac:dyDescent="0.2"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 s="53"/>
      <c r="BN458" s="53"/>
      <c r="BO458" s="53"/>
      <c r="BP458" s="53"/>
      <c r="BQ458" s="53"/>
      <c r="BR458" s="53"/>
      <c r="BS458" s="53"/>
      <c r="BT458" s="53"/>
      <c r="BU458" s="53"/>
    </row>
    <row r="459" spans="15:73" x14ac:dyDescent="0.2"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 s="53"/>
      <c r="BN459" s="53"/>
      <c r="BO459" s="53"/>
      <c r="BP459" s="53"/>
      <c r="BQ459" s="53"/>
      <c r="BR459" s="53"/>
      <c r="BS459" s="53"/>
      <c r="BT459" s="53"/>
      <c r="BU459" s="53"/>
    </row>
    <row r="460" spans="15:73" x14ac:dyDescent="0.2"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 s="53"/>
      <c r="BN460" s="53"/>
      <c r="BO460" s="53"/>
      <c r="BP460" s="53"/>
      <c r="BQ460" s="53"/>
      <c r="BR460" s="53"/>
      <c r="BS460" s="53"/>
      <c r="BT460" s="53"/>
      <c r="BU460" s="53"/>
    </row>
    <row r="461" spans="15:73" x14ac:dyDescent="0.2"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 s="53"/>
      <c r="BN461" s="53"/>
      <c r="BO461" s="53"/>
      <c r="BP461" s="53"/>
      <c r="BQ461" s="53"/>
      <c r="BR461" s="53"/>
      <c r="BS461" s="53"/>
      <c r="BT461" s="53"/>
      <c r="BU461" s="53"/>
    </row>
    <row r="462" spans="15:73" x14ac:dyDescent="0.2"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 s="53"/>
      <c r="BN462" s="53"/>
      <c r="BO462" s="53"/>
      <c r="BP462" s="53"/>
      <c r="BQ462" s="53"/>
      <c r="BR462" s="53"/>
      <c r="BS462" s="53"/>
      <c r="BT462" s="53"/>
      <c r="BU462" s="53"/>
    </row>
    <row r="463" spans="15:73" x14ac:dyDescent="0.2"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 s="53"/>
      <c r="BN463" s="53"/>
      <c r="BO463" s="53"/>
      <c r="BP463" s="53"/>
      <c r="BQ463" s="53"/>
      <c r="BR463" s="53"/>
      <c r="BS463" s="53"/>
      <c r="BT463" s="53"/>
      <c r="BU463" s="53"/>
    </row>
    <row r="464" spans="15:73" x14ac:dyDescent="0.2"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 s="53"/>
      <c r="BN464" s="53"/>
      <c r="BO464" s="53"/>
      <c r="BP464" s="53"/>
      <c r="BQ464" s="53"/>
      <c r="BR464" s="53"/>
      <c r="BS464" s="53"/>
      <c r="BT464" s="53"/>
      <c r="BU464" s="53"/>
    </row>
    <row r="465" spans="15:73" x14ac:dyDescent="0.2"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 s="53"/>
      <c r="BN465" s="53"/>
      <c r="BO465" s="53"/>
      <c r="BP465" s="53"/>
      <c r="BQ465" s="53"/>
      <c r="BR465" s="53"/>
      <c r="BS465" s="53"/>
      <c r="BT465" s="53"/>
      <c r="BU465" s="53"/>
    </row>
    <row r="466" spans="15:73" x14ac:dyDescent="0.2"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 s="53"/>
      <c r="BN466" s="53"/>
      <c r="BO466" s="53"/>
      <c r="BP466" s="53"/>
      <c r="BQ466" s="53"/>
      <c r="BR466" s="53"/>
      <c r="BS466" s="53"/>
      <c r="BT466" s="53"/>
      <c r="BU466" s="53"/>
    </row>
    <row r="467" spans="15:73" x14ac:dyDescent="0.2"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 s="53"/>
      <c r="BN467" s="53"/>
      <c r="BO467" s="53"/>
      <c r="BP467" s="53"/>
      <c r="BQ467" s="53"/>
      <c r="BR467" s="53"/>
      <c r="BS467" s="53"/>
      <c r="BT467" s="53"/>
      <c r="BU467" s="53"/>
    </row>
    <row r="468" spans="15:73" x14ac:dyDescent="0.2"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 s="53"/>
      <c r="BN468" s="53"/>
      <c r="BO468" s="53"/>
      <c r="BP468" s="53"/>
      <c r="BQ468" s="53"/>
      <c r="BR468" s="53"/>
      <c r="BS468" s="53"/>
      <c r="BT468" s="53"/>
      <c r="BU468" s="53"/>
    </row>
    <row r="469" spans="15:73" x14ac:dyDescent="0.2"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 s="53"/>
      <c r="BN469" s="53"/>
      <c r="BO469" s="53"/>
      <c r="BP469" s="53"/>
      <c r="BQ469" s="53"/>
      <c r="BR469" s="53"/>
      <c r="BS469" s="53"/>
      <c r="BT469" s="53"/>
      <c r="BU469" s="53"/>
    </row>
    <row r="470" spans="15:73" x14ac:dyDescent="0.2"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 s="53"/>
      <c r="BN470" s="53"/>
      <c r="BO470" s="53"/>
      <c r="BP470" s="53"/>
      <c r="BQ470" s="53"/>
      <c r="BR470" s="53"/>
      <c r="BS470" s="53"/>
      <c r="BT470" s="53"/>
      <c r="BU470" s="53"/>
    </row>
    <row r="471" spans="15:73" x14ac:dyDescent="0.2"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 s="53"/>
      <c r="BN471" s="53"/>
      <c r="BO471" s="53"/>
      <c r="BP471" s="53"/>
      <c r="BQ471" s="53"/>
      <c r="BR471" s="53"/>
      <c r="BS471" s="53"/>
      <c r="BT471" s="53"/>
      <c r="BU471" s="53"/>
    </row>
    <row r="472" spans="15:73" x14ac:dyDescent="0.2"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 s="53"/>
      <c r="BN472" s="53"/>
      <c r="BO472" s="53"/>
      <c r="BP472" s="53"/>
      <c r="BQ472" s="53"/>
      <c r="BR472" s="53"/>
      <c r="BS472" s="53"/>
      <c r="BT472" s="53"/>
      <c r="BU472" s="53"/>
    </row>
    <row r="473" spans="15:73" x14ac:dyDescent="0.2"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 s="53"/>
      <c r="BN473" s="53"/>
      <c r="BO473" s="53"/>
      <c r="BP473" s="53"/>
      <c r="BQ473" s="53"/>
      <c r="BR473" s="53"/>
      <c r="BS473" s="53"/>
      <c r="BT473" s="53"/>
      <c r="BU473" s="53"/>
    </row>
    <row r="474" spans="15:73" x14ac:dyDescent="0.2"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 s="53"/>
      <c r="BN474" s="53"/>
      <c r="BO474" s="53"/>
      <c r="BP474" s="53"/>
      <c r="BQ474" s="53"/>
      <c r="BR474" s="53"/>
      <c r="BS474" s="53"/>
      <c r="BT474" s="53"/>
      <c r="BU474" s="53"/>
    </row>
    <row r="475" spans="15:73" x14ac:dyDescent="0.2"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 s="53"/>
      <c r="BN475" s="53"/>
      <c r="BO475" s="53"/>
      <c r="BP475" s="53"/>
      <c r="BQ475" s="53"/>
      <c r="BR475" s="53"/>
      <c r="BS475" s="53"/>
      <c r="BT475" s="53"/>
      <c r="BU475" s="53"/>
    </row>
    <row r="476" spans="15:73" x14ac:dyDescent="0.2"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 s="53"/>
      <c r="BN476" s="53"/>
      <c r="BO476" s="53"/>
      <c r="BP476" s="53"/>
      <c r="BQ476" s="53"/>
      <c r="BR476" s="53"/>
      <c r="BS476" s="53"/>
      <c r="BT476" s="53"/>
      <c r="BU476" s="53"/>
    </row>
    <row r="477" spans="15:73" x14ac:dyDescent="0.2"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 s="53"/>
      <c r="BN477" s="53"/>
      <c r="BO477" s="53"/>
      <c r="BP477" s="53"/>
      <c r="BQ477" s="53"/>
      <c r="BR477" s="53"/>
      <c r="BS477" s="53"/>
      <c r="BT477" s="53"/>
      <c r="BU477" s="53"/>
    </row>
    <row r="478" spans="15:73" x14ac:dyDescent="0.2"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 s="53"/>
      <c r="BN478" s="53"/>
      <c r="BO478" s="53"/>
      <c r="BP478" s="53"/>
      <c r="BQ478" s="53"/>
      <c r="BR478" s="53"/>
      <c r="BS478" s="53"/>
      <c r="BT478" s="53"/>
      <c r="BU478" s="53"/>
    </row>
    <row r="479" spans="15:73" x14ac:dyDescent="0.2"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 s="53"/>
      <c r="BN479" s="53"/>
      <c r="BO479" s="53"/>
      <c r="BP479" s="53"/>
      <c r="BQ479" s="53"/>
      <c r="BR479" s="53"/>
      <c r="BS479" s="53"/>
      <c r="BT479" s="53"/>
      <c r="BU479" s="53"/>
    </row>
    <row r="480" spans="15:73" x14ac:dyDescent="0.2"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 s="53"/>
      <c r="BN480" s="53"/>
      <c r="BO480" s="53"/>
      <c r="BP480" s="53"/>
      <c r="BQ480" s="53"/>
      <c r="BR480" s="53"/>
      <c r="BS480" s="53"/>
      <c r="BT480" s="53"/>
      <c r="BU480" s="53"/>
    </row>
    <row r="481" spans="15:73" x14ac:dyDescent="0.2"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 s="53"/>
      <c r="BN481" s="53"/>
      <c r="BO481" s="53"/>
      <c r="BP481" s="53"/>
      <c r="BQ481" s="53"/>
      <c r="BR481" s="53"/>
      <c r="BS481" s="53"/>
      <c r="BT481" s="53"/>
      <c r="BU481" s="53"/>
    </row>
    <row r="482" spans="15:73" x14ac:dyDescent="0.2"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 s="53"/>
      <c r="BN482" s="53"/>
      <c r="BO482" s="53"/>
      <c r="BP482" s="53"/>
      <c r="BQ482" s="53"/>
      <c r="BR482" s="53"/>
      <c r="BS482" s="53"/>
      <c r="BT482" s="53"/>
      <c r="BU482" s="53"/>
    </row>
    <row r="483" spans="15:73" x14ac:dyDescent="0.2"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 s="53"/>
      <c r="BN483" s="53"/>
      <c r="BO483" s="53"/>
      <c r="BP483" s="53"/>
      <c r="BQ483" s="53"/>
      <c r="BR483" s="53"/>
      <c r="BS483" s="53"/>
      <c r="BT483" s="53"/>
      <c r="BU483" s="53"/>
    </row>
    <row r="484" spans="15:73" x14ac:dyDescent="0.2"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 s="53"/>
      <c r="BN484" s="53"/>
      <c r="BO484" s="53"/>
      <c r="BP484" s="53"/>
      <c r="BQ484" s="53"/>
      <c r="BR484" s="53"/>
      <c r="BS484" s="53"/>
      <c r="BT484" s="53"/>
      <c r="BU484" s="53"/>
    </row>
    <row r="485" spans="15:73" x14ac:dyDescent="0.2"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 s="53"/>
      <c r="BN485" s="53"/>
      <c r="BO485" s="53"/>
      <c r="BP485" s="53"/>
      <c r="BQ485" s="53"/>
      <c r="BR485" s="53"/>
      <c r="BS485" s="53"/>
      <c r="BT485" s="53"/>
      <c r="BU485" s="53"/>
    </row>
    <row r="486" spans="15:73" x14ac:dyDescent="0.2"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 s="53"/>
      <c r="BN486" s="53"/>
      <c r="BO486" s="53"/>
      <c r="BP486" s="53"/>
      <c r="BQ486" s="53"/>
      <c r="BR486" s="53"/>
      <c r="BS486" s="53"/>
      <c r="BT486" s="53"/>
      <c r="BU486" s="53"/>
    </row>
    <row r="487" spans="15:73" x14ac:dyDescent="0.2"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 s="53"/>
      <c r="BN487" s="53"/>
      <c r="BO487" s="53"/>
      <c r="BP487" s="53"/>
      <c r="BQ487" s="53"/>
      <c r="BR487" s="53"/>
      <c r="BS487" s="53"/>
      <c r="BT487" s="53"/>
      <c r="BU487" s="53"/>
    </row>
    <row r="488" spans="15:73" x14ac:dyDescent="0.2"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 s="53"/>
      <c r="BN488" s="53"/>
      <c r="BO488" s="53"/>
      <c r="BP488" s="53"/>
      <c r="BQ488" s="53"/>
      <c r="BR488" s="53"/>
      <c r="BS488" s="53"/>
      <c r="BT488" s="53"/>
      <c r="BU488" s="53"/>
    </row>
    <row r="489" spans="15:73" x14ac:dyDescent="0.2"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 s="53"/>
      <c r="BN489" s="53"/>
      <c r="BO489" s="53"/>
      <c r="BP489" s="53"/>
      <c r="BQ489" s="53"/>
      <c r="BR489" s="53"/>
      <c r="BS489" s="53"/>
      <c r="BT489" s="53"/>
      <c r="BU489" s="53"/>
    </row>
    <row r="490" spans="15:73" x14ac:dyDescent="0.2"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 s="53"/>
      <c r="BN490" s="53"/>
      <c r="BO490" s="53"/>
      <c r="BP490" s="53"/>
      <c r="BQ490" s="53"/>
      <c r="BR490" s="53"/>
      <c r="BS490" s="53"/>
      <c r="BT490" s="53"/>
      <c r="BU490" s="53"/>
    </row>
    <row r="491" spans="15:73" x14ac:dyDescent="0.2"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 s="53"/>
      <c r="BN491" s="53"/>
      <c r="BO491" s="53"/>
      <c r="BP491" s="53"/>
      <c r="BQ491" s="53"/>
      <c r="BR491" s="53"/>
      <c r="BS491" s="53"/>
      <c r="BT491" s="53"/>
      <c r="BU491" s="53"/>
    </row>
    <row r="492" spans="15:73" x14ac:dyDescent="0.2"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 s="53"/>
      <c r="BN492" s="53"/>
      <c r="BO492" s="53"/>
      <c r="BP492" s="53"/>
      <c r="BQ492" s="53"/>
      <c r="BR492" s="53"/>
      <c r="BS492" s="53"/>
      <c r="BT492" s="53"/>
      <c r="BU492" s="53"/>
    </row>
    <row r="493" spans="15:73" x14ac:dyDescent="0.2"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 s="53"/>
      <c r="BN493" s="53"/>
      <c r="BO493" s="53"/>
      <c r="BP493" s="53"/>
      <c r="BQ493" s="53"/>
      <c r="BR493" s="53"/>
      <c r="BS493" s="53"/>
      <c r="BT493" s="53"/>
      <c r="BU493" s="53"/>
    </row>
    <row r="494" spans="15:73" x14ac:dyDescent="0.2"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 s="53"/>
      <c r="BN494" s="53"/>
      <c r="BO494" s="53"/>
      <c r="BP494" s="53"/>
      <c r="BQ494" s="53"/>
      <c r="BR494" s="53"/>
      <c r="BS494" s="53"/>
      <c r="BT494" s="53"/>
      <c r="BU494" s="53"/>
    </row>
    <row r="495" spans="15:73" x14ac:dyDescent="0.2"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 s="53"/>
      <c r="BN495" s="53"/>
      <c r="BO495" s="53"/>
      <c r="BP495" s="53"/>
      <c r="BQ495" s="53"/>
      <c r="BR495" s="53"/>
      <c r="BS495" s="53"/>
      <c r="BT495" s="53"/>
      <c r="BU495" s="53"/>
    </row>
    <row r="496" spans="15:73" x14ac:dyDescent="0.2"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 s="53"/>
      <c r="BN496" s="53"/>
      <c r="BO496" s="53"/>
      <c r="BP496" s="53"/>
      <c r="BQ496" s="53"/>
      <c r="BR496" s="53"/>
      <c r="BS496" s="53"/>
      <c r="BT496" s="53"/>
      <c r="BU496" s="53"/>
    </row>
    <row r="497" spans="15:73" x14ac:dyDescent="0.2"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 s="53"/>
      <c r="BN497" s="53"/>
      <c r="BO497" s="53"/>
      <c r="BP497" s="53"/>
      <c r="BQ497" s="53"/>
      <c r="BR497" s="53"/>
      <c r="BS497" s="53"/>
      <c r="BT497" s="53"/>
      <c r="BU497" s="53"/>
    </row>
    <row r="498" spans="15:73" x14ac:dyDescent="0.2"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 s="53"/>
      <c r="BN498" s="53"/>
      <c r="BO498" s="53"/>
      <c r="BP498" s="53"/>
      <c r="BQ498" s="53"/>
      <c r="BR498" s="53"/>
      <c r="BS498" s="53"/>
      <c r="BT498" s="53"/>
      <c r="BU498" s="53"/>
    </row>
    <row r="499" spans="15:73" x14ac:dyDescent="0.2"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 s="53"/>
      <c r="BN499" s="53"/>
      <c r="BO499" s="53"/>
      <c r="BP499" s="53"/>
      <c r="BQ499" s="53"/>
      <c r="BR499" s="53"/>
      <c r="BS499" s="53"/>
      <c r="BT499" s="53"/>
      <c r="BU499" s="53"/>
    </row>
    <row r="500" spans="15:73" x14ac:dyDescent="0.2"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 s="53"/>
      <c r="BN500" s="53"/>
      <c r="BO500" s="53"/>
      <c r="BP500" s="53"/>
      <c r="BQ500" s="53"/>
      <c r="BR500" s="53"/>
      <c r="BS500" s="53"/>
      <c r="BT500" s="53"/>
      <c r="BU500" s="53"/>
    </row>
    <row r="501" spans="15:73" x14ac:dyDescent="0.2"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 s="53"/>
      <c r="BN501" s="53"/>
      <c r="BO501" s="53"/>
      <c r="BP501" s="53"/>
      <c r="BQ501" s="53"/>
      <c r="BR501" s="53"/>
      <c r="BS501" s="53"/>
      <c r="BT501" s="53"/>
      <c r="BU501" s="53"/>
    </row>
    <row r="502" spans="15:73" x14ac:dyDescent="0.2"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 s="53"/>
      <c r="BN502" s="53"/>
      <c r="BO502" s="53"/>
      <c r="BP502" s="53"/>
      <c r="BQ502" s="53"/>
      <c r="BR502" s="53"/>
      <c r="BS502" s="53"/>
      <c r="BT502" s="53"/>
      <c r="BU502" s="53"/>
    </row>
    <row r="503" spans="15:73" x14ac:dyDescent="0.2"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 s="53"/>
      <c r="BN503" s="53"/>
      <c r="BO503" s="53"/>
      <c r="BP503" s="53"/>
      <c r="BQ503" s="53"/>
      <c r="BR503" s="53"/>
      <c r="BS503" s="53"/>
      <c r="BT503" s="53"/>
      <c r="BU503" s="53"/>
    </row>
    <row r="504" spans="15:73" x14ac:dyDescent="0.2"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 s="53"/>
      <c r="BN504" s="53"/>
      <c r="BO504" s="53"/>
      <c r="BP504" s="53"/>
      <c r="BQ504" s="53"/>
      <c r="BR504" s="53"/>
      <c r="BS504" s="53"/>
      <c r="BT504" s="53"/>
      <c r="BU504" s="53"/>
    </row>
    <row r="505" spans="15:73" x14ac:dyDescent="0.2"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 s="53"/>
      <c r="BN505" s="53"/>
      <c r="BO505" s="53"/>
      <c r="BP505" s="53"/>
      <c r="BQ505" s="53"/>
      <c r="BR505" s="53"/>
      <c r="BS505" s="53"/>
      <c r="BT505" s="53"/>
      <c r="BU505" s="53"/>
    </row>
    <row r="506" spans="15:73" x14ac:dyDescent="0.2"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 s="53"/>
      <c r="BN506" s="53"/>
      <c r="BO506" s="53"/>
      <c r="BP506" s="53"/>
      <c r="BQ506" s="53"/>
      <c r="BR506" s="53"/>
      <c r="BS506" s="53"/>
      <c r="BT506" s="53"/>
      <c r="BU506" s="53"/>
    </row>
    <row r="507" spans="15:73" x14ac:dyDescent="0.2"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 s="53"/>
      <c r="BN507" s="53"/>
      <c r="BO507" s="53"/>
      <c r="BP507" s="53"/>
      <c r="BQ507" s="53"/>
      <c r="BR507" s="53"/>
      <c r="BS507" s="53"/>
      <c r="BT507" s="53"/>
      <c r="BU507" s="53"/>
    </row>
    <row r="508" spans="15:73" x14ac:dyDescent="0.2"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 s="53"/>
      <c r="BN508" s="53"/>
      <c r="BO508" s="53"/>
      <c r="BP508" s="53"/>
      <c r="BQ508" s="53"/>
      <c r="BR508" s="53"/>
      <c r="BS508" s="53"/>
      <c r="BT508" s="53"/>
      <c r="BU508" s="53"/>
    </row>
    <row r="509" spans="15:73" x14ac:dyDescent="0.2"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 s="53"/>
      <c r="BN509" s="53"/>
      <c r="BO509" s="53"/>
      <c r="BP509" s="53"/>
      <c r="BQ509" s="53"/>
      <c r="BR509" s="53"/>
      <c r="BS509" s="53"/>
      <c r="BT509" s="53"/>
      <c r="BU509" s="53"/>
    </row>
    <row r="510" spans="15:73" x14ac:dyDescent="0.2"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 s="53"/>
      <c r="BN510" s="53"/>
      <c r="BO510" s="53"/>
      <c r="BP510" s="53"/>
      <c r="BQ510" s="53"/>
      <c r="BR510" s="53"/>
      <c r="BS510" s="53"/>
      <c r="BT510" s="53"/>
      <c r="BU510" s="53"/>
    </row>
    <row r="511" spans="15:73" x14ac:dyDescent="0.2"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 s="53"/>
      <c r="BN511" s="53"/>
      <c r="BO511" s="53"/>
      <c r="BP511" s="53"/>
      <c r="BQ511" s="53"/>
      <c r="BR511" s="53"/>
      <c r="BS511" s="53"/>
      <c r="BT511" s="53"/>
      <c r="BU511" s="53"/>
    </row>
    <row r="512" spans="15:73" x14ac:dyDescent="0.2"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 s="53"/>
      <c r="BN512" s="53"/>
      <c r="BO512" s="53"/>
      <c r="BP512" s="53"/>
      <c r="BQ512" s="53"/>
      <c r="BR512" s="53"/>
      <c r="BS512" s="53"/>
      <c r="BT512" s="53"/>
      <c r="BU512" s="53"/>
    </row>
    <row r="513" spans="15:73" x14ac:dyDescent="0.2"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 s="53"/>
      <c r="BN513" s="53"/>
      <c r="BO513" s="53"/>
      <c r="BP513" s="53"/>
      <c r="BQ513" s="53"/>
      <c r="BR513" s="53"/>
      <c r="BS513" s="53"/>
      <c r="BT513" s="53"/>
      <c r="BU513" s="53"/>
    </row>
    <row r="514" spans="15:73" x14ac:dyDescent="0.2"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 s="53"/>
      <c r="BN514" s="53"/>
      <c r="BO514" s="53"/>
      <c r="BP514" s="53"/>
      <c r="BQ514" s="53"/>
      <c r="BR514" s="53"/>
      <c r="BS514" s="53"/>
      <c r="BT514" s="53"/>
      <c r="BU514" s="53"/>
    </row>
    <row r="515" spans="15:73" x14ac:dyDescent="0.2"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 s="53"/>
      <c r="BN515" s="53"/>
      <c r="BO515" s="53"/>
      <c r="BP515" s="53"/>
      <c r="BQ515" s="53"/>
      <c r="BR515" s="53"/>
      <c r="BS515" s="53"/>
      <c r="BT515" s="53"/>
      <c r="BU515" s="53"/>
    </row>
    <row r="516" spans="15:73" x14ac:dyDescent="0.2"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 s="53"/>
      <c r="BN516" s="53"/>
      <c r="BO516" s="53"/>
      <c r="BP516" s="53"/>
      <c r="BQ516" s="53"/>
      <c r="BR516" s="53"/>
      <c r="BS516" s="53"/>
      <c r="BT516" s="53"/>
      <c r="BU516" s="53"/>
    </row>
    <row r="517" spans="15:73" x14ac:dyDescent="0.2"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 s="53"/>
      <c r="BN517" s="53"/>
      <c r="BO517" s="53"/>
      <c r="BP517" s="53"/>
      <c r="BQ517" s="53"/>
      <c r="BR517" s="53"/>
      <c r="BS517" s="53"/>
      <c r="BT517" s="53"/>
      <c r="BU517" s="53"/>
    </row>
    <row r="518" spans="15:73" x14ac:dyDescent="0.2"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 s="53"/>
      <c r="BN518" s="53"/>
      <c r="BO518" s="53"/>
      <c r="BP518" s="53"/>
      <c r="BQ518" s="53"/>
      <c r="BR518" s="53"/>
      <c r="BS518" s="53"/>
      <c r="BT518" s="53"/>
      <c r="BU518" s="53"/>
    </row>
    <row r="519" spans="15:73" x14ac:dyDescent="0.2"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 s="53"/>
      <c r="BN519" s="53"/>
      <c r="BO519" s="53"/>
      <c r="BP519" s="53"/>
      <c r="BQ519" s="53"/>
      <c r="BR519" s="53"/>
      <c r="BS519" s="53"/>
      <c r="BT519" s="53"/>
      <c r="BU519" s="53"/>
    </row>
    <row r="520" spans="15:73" x14ac:dyDescent="0.2"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 s="53"/>
      <c r="BN520" s="53"/>
      <c r="BO520" s="53"/>
      <c r="BP520" s="53"/>
      <c r="BQ520" s="53"/>
      <c r="BR520" s="53"/>
      <c r="BS520" s="53"/>
      <c r="BT520" s="53"/>
      <c r="BU520" s="53"/>
    </row>
    <row r="521" spans="15:73" x14ac:dyDescent="0.2"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 s="53"/>
      <c r="BN521" s="53"/>
      <c r="BO521" s="53"/>
      <c r="BP521" s="53"/>
      <c r="BQ521" s="53"/>
      <c r="BR521" s="53"/>
      <c r="BS521" s="53"/>
      <c r="BT521" s="53"/>
      <c r="BU521" s="53"/>
    </row>
    <row r="522" spans="15:73" x14ac:dyDescent="0.2"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 s="53"/>
      <c r="BN522" s="53"/>
      <c r="BO522" s="53"/>
      <c r="BP522" s="53"/>
      <c r="BQ522" s="53"/>
      <c r="BR522" s="53"/>
      <c r="BS522" s="53"/>
      <c r="BT522" s="53"/>
      <c r="BU522" s="53"/>
    </row>
    <row r="523" spans="15:73" x14ac:dyDescent="0.2"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 s="53"/>
      <c r="BN523" s="53"/>
      <c r="BO523" s="53"/>
      <c r="BP523" s="53"/>
      <c r="BQ523" s="53"/>
      <c r="BR523" s="53"/>
      <c r="BS523" s="53"/>
      <c r="BT523" s="53"/>
      <c r="BU523" s="53"/>
    </row>
    <row r="524" spans="15:73" x14ac:dyDescent="0.2"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 s="53"/>
      <c r="BN524" s="53"/>
      <c r="BO524" s="53"/>
      <c r="BP524" s="53"/>
      <c r="BQ524" s="53"/>
      <c r="BR524" s="53"/>
      <c r="BS524" s="53"/>
      <c r="BT524" s="53"/>
      <c r="BU524" s="53"/>
    </row>
    <row r="525" spans="15:73" x14ac:dyDescent="0.2"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 s="53"/>
      <c r="BN525" s="53"/>
      <c r="BO525" s="53"/>
      <c r="BP525" s="53"/>
      <c r="BQ525" s="53"/>
      <c r="BR525" s="53"/>
      <c r="BS525" s="53"/>
      <c r="BT525" s="53"/>
      <c r="BU525" s="53"/>
    </row>
    <row r="526" spans="15:73" x14ac:dyDescent="0.2"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 s="53"/>
      <c r="BN526" s="53"/>
      <c r="BO526" s="53"/>
      <c r="BP526" s="53"/>
      <c r="BQ526" s="53"/>
      <c r="BR526" s="53"/>
      <c r="BS526" s="53"/>
      <c r="BT526" s="53"/>
      <c r="BU526" s="53"/>
    </row>
    <row r="527" spans="15:73" x14ac:dyDescent="0.2"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 s="53"/>
      <c r="BN527" s="53"/>
      <c r="BO527" s="53"/>
      <c r="BP527" s="53"/>
      <c r="BQ527" s="53"/>
      <c r="BR527" s="53"/>
      <c r="BS527" s="53"/>
      <c r="BT527" s="53"/>
      <c r="BU527" s="53"/>
    </row>
    <row r="528" spans="15:73" x14ac:dyDescent="0.2"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 s="53"/>
      <c r="BN528" s="53"/>
      <c r="BO528" s="53"/>
      <c r="BP528" s="53"/>
      <c r="BQ528" s="53"/>
      <c r="BR528" s="53"/>
      <c r="BS528" s="53"/>
      <c r="BT528" s="53"/>
      <c r="BU528" s="53"/>
    </row>
    <row r="529" spans="15:73" x14ac:dyDescent="0.2"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 s="53"/>
      <c r="BN529" s="53"/>
      <c r="BO529" s="53"/>
      <c r="BP529" s="53"/>
      <c r="BQ529" s="53"/>
      <c r="BR529" s="53"/>
      <c r="BS529" s="53"/>
      <c r="BT529" s="53"/>
      <c r="BU529" s="53"/>
    </row>
    <row r="530" spans="15:73" x14ac:dyDescent="0.2"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 s="53"/>
      <c r="BN530" s="53"/>
      <c r="BO530" s="53"/>
      <c r="BP530" s="53"/>
      <c r="BQ530" s="53"/>
      <c r="BR530" s="53"/>
      <c r="BS530" s="53"/>
      <c r="BT530" s="53"/>
      <c r="BU530" s="53"/>
    </row>
    <row r="531" spans="15:73" x14ac:dyDescent="0.2"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 s="53"/>
      <c r="BN531" s="53"/>
      <c r="BO531" s="53"/>
      <c r="BP531" s="53"/>
      <c r="BQ531" s="53"/>
      <c r="BR531" s="53"/>
      <c r="BS531" s="53"/>
      <c r="BT531" s="53"/>
      <c r="BU531" s="53"/>
    </row>
    <row r="532" spans="15:73" x14ac:dyDescent="0.2"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 s="53"/>
      <c r="BN532" s="53"/>
      <c r="BO532" s="53"/>
      <c r="BP532" s="53"/>
      <c r="BQ532" s="53"/>
      <c r="BR532" s="53"/>
      <c r="BS532" s="53"/>
      <c r="BT532" s="53"/>
      <c r="BU532" s="53"/>
    </row>
  </sheetData>
  <dataConsolidate link="1"/>
  <phoneticPr fontId="12" type="noConversion"/>
  <pageMargins left="0.75" right="0.75" top="1" bottom="1" header="0.5" footer="0.5"/>
  <pageSetup scale="6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J45"/>
  <sheetViews>
    <sheetView showGridLines="0" zoomScale="70" zoomScaleNormal="70" workbookViewId="0"/>
  </sheetViews>
  <sheetFormatPr defaultColWidth="9.140625" defaultRowHeight="12.75" x14ac:dyDescent="0.2"/>
  <cols>
    <col min="1" max="1" width="14.7109375" style="19" customWidth="1"/>
    <col min="2" max="2" width="12.28515625" style="19" bestFit="1" customWidth="1"/>
    <col min="3" max="3" width="11.7109375" style="19" bestFit="1" customWidth="1"/>
    <col min="4" max="4" width="8.7109375" style="19" bestFit="1" customWidth="1"/>
    <col min="5" max="5" width="11.5703125" style="19" bestFit="1" customWidth="1"/>
    <col min="6" max="6" width="1.7109375" style="19" customWidth="1"/>
    <col min="7" max="9" width="11.5703125" style="19" bestFit="1" customWidth="1"/>
    <col min="10" max="10" width="10.7109375" style="19" customWidth="1"/>
    <col min="11" max="16384" width="9.140625" style="19"/>
  </cols>
  <sheetData>
    <row r="1" spans="1:10" ht="14.25" x14ac:dyDescent="0.2">
      <c r="A1" s="18" t="s">
        <v>113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4.25" x14ac:dyDescent="0.2">
      <c r="A2" s="20"/>
      <c r="B2" s="164" t="s">
        <v>0</v>
      </c>
      <c r="C2" s="164"/>
      <c r="D2" s="164"/>
      <c r="E2" s="164"/>
      <c r="F2" s="24"/>
      <c r="G2" s="164" t="s">
        <v>17</v>
      </c>
      <c r="H2" s="164"/>
      <c r="I2" s="164"/>
      <c r="J2" s="20"/>
    </row>
    <row r="3" spans="1:10" ht="14.25" x14ac:dyDescent="0.2">
      <c r="A3" s="20" t="s">
        <v>60</v>
      </c>
      <c r="B3" s="22" t="s">
        <v>8</v>
      </c>
      <c r="C3" s="26"/>
      <c r="D3" s="26"/>
      <c r="E3" s="26"/>
      <c r="F3" s="26"/>
      <c r="G3" s="26"/>
      <c r="H3" s="26"/>
      <c r="I3" s="26"/>
      <c r="J3" s="22" t="s">
        <v>26</v>
      </c>
    </row>
    <row r="4" spans="1:10" ht="14.25" x14ac:dyDescent="0.2">
      <c r="A4" s="27" t="s">
        <v>61</v>
      </c>
      <c r="B4" s="29" t="s">
        <v>25</v>
      </c>
      <c r="C4" s="29" t="s">
        <v>1</v>
      </c>
      <c r="D4" s="29" t="s">
        <v>2</v>
      </c>
      <c r="E4" s="31" t="s">
        <v>24</v>
      </c>
      <c r="F4" s="30"/>
      <c r="G4" s="29" t="s">
        <v>27</v>
      </c>
      <c r="H4" s="29" t="s">
        <v>23</v>
      </c>
      <c r="I4" s="29" t="s">
        <v>24</v>
      </c>
      <c r="J4" s="29" t="s">
        <v>70</v>
      </c>
    </row>
    <row r="5" spans="1:10" ht="14.25" x14ac:dyDescent="0.2">
      <c r="A5" s="20"/>
      <c r="B5" s="165" t="s">
        <v>75</v>
      </c>
      <c r="C5" s="165"/>
      <c r="D5" s="165"/>
      <c r="E5" s="165"/>
      <c r="F5" s="165"/>
      <c r="G5" s="165"/>
      <c r="H5" s="165"/>
      <c r="I5" s="165"/>
      <c r="J5" s="165"/>
    </row>
    <row r="6" spans="1:10" ht="14.25" x14ac:dyDescent="0.2">
      <c r="A6" s="20" t="s">
        <v>100</v>
      </c>
      <c r="B6" s="57">
        <f>B11</f>
        <v>402.01499999999999</v>
      </c>
      <c r="C6" s="58">
        <f>C23</f>
        <v>51100.43</v>
      </c>
      <c r="D6" s="58">
        <f>D23</f>
        <v>639.45289700599983</v>
      </c>
      <c r="E6" s="38">
        <f>E23</f>
        <v>52141.897897005998</v>
      </c>
      <c r="F6" s="58"/>
      <c r="G6" s="58">
        <f>G23</f>
        <v>37966.877728954991</v>
      </c>
      <c r="H6" s="58">
        <f>H23</f>
        <v>13833.684168051001</v>
      </c>
      <c r="I6" s="58">
        <f>I23</f>
        <v>51800.561897005995</v>
      </c>
      <c r="J6" s="58">
        <f>J22</f>
        <v>341.33600000000001</v>
      </c>
    </row>
    <row r="7" spans="1:10" ht="16.5" x14ac:dyDescent="0.2">
      <c r="A7" s="20" t="s">
        <v>101</v>
      </c>
      <c r="B7" s="57">
        <f>J6</f>
        <v>341.33600000000001</v>
      </c>
      <c r="C7" s="58">
        <f>C38</f>
        <v>50564.714999999989</v>
      </c>
      <c r="D7" s="58">
        <f>D38</f>
        <v>782.87279764099992</v>
      </c>
      <c r="E7" s="38">
        <f>E38</f>
        <v>51688.923797640993</v>
      </c>
      <c r="F7" s="58"/>
      <c r="G7" s="58">
        <f>G38</f>
        <v>37580.430300251006</v>
      </c>
      <c r="H7" s="58">
        <f>H38</f>
        <v>13767.707497390002</v>
      </c>
      <c r="I7" s="58">
        <f>I38</f>
        <v>51348.137797641</v>
      </c>
      <c r="J7" s="58">
        <f>J37</f>
        <v>340.786</v>
      </c>
    </row>
    <row r="8" spans="1:10" ht="16.5" x14ac:dyDescent="0.2">
      <c r="A8" s="20" t="s">
        <v>126</v>
      </c>
      <c r="B8" s="57">
        <f>J7</f>
        <v>340.786</v>
      </c>
      <c r="C8" s="58">
        <v>51709.214</v>
      </c>
      <c r="D8" s="58">
        <v>450</v>
      </c>
      <c r="E8" s="38">
        <f>SUM(B8:D8)</f>
        <v>52500</v>
      </c>
      <c r="F8" s="58"/>
      <c r="G8" s="58">
        <f>I8-H8</f>
        <v>37900</v>
      </c>
      <c r="H8" s="58">
        <v>14200</v>
      </c>
      <c r="I8" s="58">
        <f>E8-J8</f>
        <v>52100</v>
      </c>
      <c r="J8" s="58">
        <v>400</v>
      </c>
    </row>
    <row r="9" spans="1:10" ht="14.25" x14ac:dyDescent="0.2">
      <c r="A9" s="20"/>
      <c r="B9" s="59"/>
      <c r="C9" s="59"/>
      <c r="D9" s="59"/>
      <c r="E9" s="59"/>
      <c r="F9" s="59"/>
      <c r="G9" s="58"/>
      <c r="H9" s="59"/>
      <c r="I9" s="59"/>
      <c r="J9" s="59"/>
    </row>
    <row r="10" spans="1:10" ht="15" x14ac:dyDescent="0.25">
      <c r="A10" s="60" t="s">
        <v>100</v>
      </c>
      <c r="B10" s="61"/>
      <c r="C10" s="8"/>
      <c r="D10" s="8"/>
      <c r="E10" s="8"/>
      <c r="F10" s="8"/>
      <c r="G10" s="8"/>
      <c r="H10" s="8"/>
      <c r="I10" s="8"/>
      <c r="J10" s="8"/>
    </row>
    <row r="11" spans="1:10" ht="14.25" x14ac:dyDescent="0.2">
      <c r="A11" s="24" t="s">
        <v>44</v>
      </c>
      <c r="B11" s="61">
        <f>360.387+41.628</f>
        <v>402.01499999999999</v>
      </c>
      <c r="C11" s="8">
        <v>4381.8320000000003</v>
      </c>
      <c r="D11" s="8">
        <f>(43274*1.10231)/1000</f>
        <v>47.701362939999996</v>
      </c>
      <c r="E11" s="8">
        <f>SUM(B11:D11)</f>
        <v>4831.5483629400005</v>
      </c>
      <c r="F11" s="7"/>
      <c r="G11" s="6">
        <f t="shared" ref="G11:G22" si="0">I11-H11</f>
        <v>3335.8568790440004</v>
      </c>
      <c r="H11" s="8">
        <f>(1025421.6*1.10231)/1000</f>
        <v>1130.3324838959998</v>
      </c>
      <c r="I11" s="7">
        <f t="shared" ref="I11:I22" si="1">E11-J11</f>
        <v>4466.1893629400001</v>
      </c>
      <c r="J11" s="7">
        <v>365.35899999999998</v>
      </c>
    </row>
    <row r="12" spans="1:10" ht="14.25" x14ac:dyDescent="0.2">
      <c r="A12" s="24" t="s">
        <v>45</v>
      </c>
      <c r="B12" s="61">
        <f t="shared" ref="B12:B22" si="2">J11</f>
        <v>365.35899999999998</v>
      </c>
      <c r="C12" s="8">
        <v>4111.7719999999999</v>
      </c>
      <c r="D12" s="8">
        <f>(33004.7*1.10231)/1000</f>
        <v>36.381410856999999</v>
      </c>
      <c r="E12" s="8">
        <f t="shared" ref="E12:E18" si="3">SUM(B12:D12)</f>
        <v>4513.5124108570008</v>
      </c>
      <c r="F12" s="8"/>
      <c r="G12" s="6">
        <f t="shared" si="0"/>
        <v>2808.0372888130009</v>
      </c>
      <c r="H12" s="8">
        <f>(1123152.4*1.10231)/1000</f>
        <v>1238.0621220439998</v>
      </c>
      <c r="I12" s="7">
        <f t="shared" si="1"/>
        <v>4046.0994108570007</v>
      </c>
      <c r="J12" s="7">
        <v>467.41300000000001</v>
      </c>
    </row>
    <row r="13" spans="1:10" ht="14.25" x14ac:dyDescent="0.2">
      <c r="A13" s="24" t="s">
        <v>46</v>
      </c>
      <c r="B13" s="61">
        <f t="shared" si="2"/>
        <v>467.41300000000001</v>
      </c>
      <c r="C13" s="8">
        <v>4337.5720000000001</v>
      </c>
      <c r="D13" s="8">
        <f>(47624.6*1.10231)/1000</f>
        <v>52.497072825999993</v>
      </c>
      <c r="E13" s="8">
        <f t="shared" si="3"/>
        <v>4857.4820728260001</v>
      </c>
      <c r="F13" s="8"/>
      <c r="G13" s="6">
        <f t="shared" si="0"/>
        <v>3394.591402043</v>
      </c>
      <c r="H13" s="8">
        <f>(985039.3*1.10231)/1000</f>
        <v>1085.818670783</v>
      </c>
      <c r="I13" s="7">
        <f t="shared" si="1"/>
        <v>4480.410072826</v>
      </c>
      <c r="J13" s="7">
        <v>377.072</v>
      </c>
    </row>
    <row r="14" spans="1:10" ht="14.25" x14ac:dyDescent="0.2">
      <c r="A14" s="24" t="s">
        <v>47</v>
      </c>
      <c r="B14" s="61">
        <f t="shared" si="2"/>
        <v>377.072</v>
      </c>
      <c r="C14" s="8">
        <v>4425.7489999999998</v>
      </c>
      <c r="D14" s="8">
        <f>(55344*1.10231)/1000</f>
        <v>61.006244639999998</v>
      </c>
      <c r="E14" s="8">
        <f t="shared" si="3"/>
        <v>4863.8272446399997</v>
      </c>
      <c r="F14" s="8"/>
      <c r="G14" s="6">
        <f t="shared" si="0"/>
        <v>3443.2361162819998</v>
      </c>
      <c r="H14" s="8">
        <f>(975821.8*1.10231)/1000</f>
        <v>1075.6581283579999</v>
      </c>
      <c r="I14" s="7">
        <f t="shared" si="1"/>
        <v>4518.8942446399997</v>
      </c>
      <c r="J14" s="7">
        <v>344.93299999999999</v>
      </c>
    </row>
    <row r="15" spans="1:10" ht="14.25" x14ac:dyDescent="0.2">
      <c r="A15" s="24" t="s">
        <v>48</v>
      </c>
      <c r="B15" s="61">
        <f t="shared" si="2"/>
        <v>344.93299999999999</v>
      </c>
      <c r="C15" s="8">
        <v>4122.6279999999997</v>
      </c>
      <c r="D15" s="8">
        <f>(45646.7*1.10231)/1000</f>
        <v>50.316813876999994</v>
      </c>
      <c r="E15" s="8">
        <f t="shared" si="3"/>
        <v>4517.8778138769994</v>
      </c>
      <c r="F15" s="8"/>
      <c r="G15" s="6">
        <f t="shared" si="0"/>
        <v>2732.7443837479996</v>
      </c>
      <c r="H15" s="8">
        <f>(1218155.9*1.10231)/1000</f>
        <v>1342.7854301289997</v>
      </c>
      <c r="I15" s="7">
        <f t="shared" si="1"/>
        <v>4075.5298138769995</v>
      </c>
      <c r="J15" s="7">
        <v>442.34800000000001</v>
      </c>
    </row>
    <row r="16" spans="1:10" ht="14.25" x14ac:dyDescent="0.2">
      <c r="A16" s="24" t="s">
        <v>49</v>
      </c>
      <c r="B16" s="61">
        <f t="shared" si="2"/>
        <v>442.34800000000001</v>
      </c>
      <c r="C16" s="8">
        <v>4517.9129999999996</v>
      </c>
      <c r="D16" s="8">
        <f>(57701.5*1.10231)/1000</f>
        <v>63.604940464999991</v>
      </c>
      <c r="E16" s="8">
        <f t="shared" si="3"/>
        <v>5023.8659404649998</v>
      </c>
      <c r="F16" s="8"/>
      <c r="G16" s="6">
        <f t="shared" si="0"/>
        <v>3241.9729331999997</v>
      </c>
      <c r="H16" s="8">
        <f>(1239981.5*1.10231)/1000</f>
        <v>1366.8440072649998</v>
      </c>
      <c r="I16" s="7">
        <f t="shared" si="1"/>
        <v>4608.8169404649998</v>
      </c>
      <c r="J16" s="7">
        <v>415.04899999999998</v>
      </c>
    </row>
    <row r="17" spans="1:10" ht="14.25" x14ac:dyDescent="0.2">
      <c r="A17" s="24" t="s">
        <v>50</v>
      </c>
      <c r="B17" s="61">
        <f t="shared" si="2"/>
        <v>415.04899999999998</v>
      </c>
      <c r="C17" s="8">
        <v>4312.1769999999997</v>
      </c>
      <c r="D17" s="8">
        <f>(48315.4*1.10231)/1000</f>
        <v>53.258548574000002</v>
      </c>
      <c r="E17" s="8">
        <f t="shared" si="3"/>
        <v>4780.4845485739997</v>
      </c>
      <c r="F17" s="8"/>
      <c r="G17" s="6">
        <f t="shared" si="0"/>
        <v>3183.0079535909999</v>
      </c>
      <c r="H17" s="8">
        <f>(1098859.3*1.10231)/1000</f>
        <v>1211.2835949829998</v>
      </c>
      <c r="I17" s="7">
        <f t="shared" si="1"/>
        <v>4394.2915485739995</v>
      </c>
      <c r="J17" s="7">
        <v>386.19299999999998</v>
      </c>
    </row>
    <row r="18" spans="1:10" ht="14.25" x14ac:dyDescent="0.2">
      <c r="A18" s="24" t="s">
        <v>51</v>
      </c>
      <c r="B18" s="61">
        <f t="shared" si="2"/>
        <v>386.19299999999998</v>
      </c>
      <c r="C18" s="8">
        <v>4240.9799999999996</v>
      </c>
      <c r="D18" s="8">
        <f>(41067.2*1.10231)/1000</f>
        <v>45.268785231999992</v>
      </c>
      <c r="E18" s="8">
        <f t="shared" si="3"/>
        <v>4672.4417852319993</v>
      </c>
      <c r="F18" s="8"/>
      <c r="G18" s="6">
        <f t="shared" si="0"/>
        <v>3091.2519027089993</v>
      </c>
      <c r="H18" s="8">
        <f>(982793.3*1.10231)/1000</f>
        <v>1083.3428825230001</v>
      </c>
      <c r="I18" s="7">
        <f t="shared" si="1"/>
        <v>4174.5947852319996</v>
      </c>
      <c r="J18" s="7">
        <v>497.84699999999998</v>
      </c>
    </row>
    <row r="19" spans="1:10" ht="14.25" x14ac:dyDescent="0.2">
      <c r="A19" s="24" t="s">
        <v>52</v>
      </c>
      <c r="B19" s="61">
        <f t="shared" si="2"/>
        <v>497.84699999999998</v>
      </c>
      <c r="C19" s="8">
        <v>4167.4759999999997</v>
      </c>
      <c r="D19" s="8">
        <f>(36340.5*1.10231)/1000</f>
        <v>40.058496554999998</v>
      </c>
      <c r="E19" s="8">
        <f>SUM(B19:D19)</f>
        <v>4705.3814965549991</v>
      </c>
      <c r="F19" s="8"/>
      <c r="G19" s="6">
        <f t="shared" si="0"/>
        <v>3149.2991634139994</v>
      </c>
      <c r="H19" s="8">
        <f>(992261.1*1.10231)/1000</f>
        <v>1093.7793331409998</v>
      </c>
      <c r="I19" s="7">
        <f t="shared" si="1"/>
        <v>4243.0784965549992</v>
      </c>
      <c r="J19" s="7">
        <v>462.303</v>
      </c>
    </row>
    <row r="20" spans="1:10" ht="14.25" x14ac:dyDescent="0.2">
      <c r="A20" s="24" t="s">
        <v>54</v>
      </c>
      <c r="B20" s="61">
        <f t="shared" si="2"/>
        <v>462.303</v>
      </c>
      <c r="C20" s="8">
        <v>4361.17</v>
      </c>
      <c r="D20" s="8">
        <f>(52357*1.10231)/1000</f>
        <v>57.713644669999994</v>
      </c>
      <c r="E20" s="8">
        <f>SUM(B20:D20)</f>
        <v>4881.1866446699996</v>
      </c>
      <c r="F20" s="8"/>
      <c r="G20" s="6">
        <f t="shared" si="0"/>
        <v>3328.9380029640001</v>
      </c>
      <c r="H20" s="8">
        <f>(999472.6*1.10231)/1000</f>
        <v>1101.728641706</v>
      </c>
      <c r="I20" s="7">
        <f t="shared" si="1"/>
        <v>4430.6666446700001</v>
      </c>
      <c r="J20" s="7">
        <v>450.52</v>
      </c>
    </row>
    <row r="21" spans="1:10" ht="14.25" x14ac:dyDescent="0.2">
      <c r="A21" s="24" t="s">
        <v>55</v>
      </c>
      <c r="B21" s="61">
        <f t="shared" si="2"/>
        <v>450.52</v>
      </c>
      <c r="C21" s="8">
        <v>4111.7449999999999</v>
      </c>
      <c r="D21" s="8">
        <f>(54909.8*1.10231)/1000</f>
        <v>60.527621637999999</v>
      </c>
      <c r="E21" s="8">
        <f>SUM(B21:D21)</f>
        <v>4622.7926216379992</v>
      </c>
      <c r="F21" s="8"/>
      <c r="G21" s="6">
        <f t="shared" si="0"/>
        <v>3084.1046288009993</v>
      </c>
      <c r="H21" s="8">
        <f>(1013862.7*1.10231)/1000</f>
        <v>1117.5909928369999</v>
      </c>
      <c r="I21" s="7">
        <f t="shared" si="1"/>
        <v>4201.6956216379995</v>
      </c>
      <c r="J21" s="7">
        <v>421.09699999999998</v>
      </c>
    </row>
    <row r="22" spans="1:10" ht="14.25" x14ac:dyDescent="0.2">
      <c r="A22" s="24" t="s">
        <v>57</v>
      </c>
      <c r="B22" s="61">
        <f t="shared" si="2"/>
        <v>421.09699999999998</v>
      </c>
      <c r="C22" s="8">
        <v>4009.4160000000002</v>
      </c>
      <c r="D22" s="8">
        <f>(64517.2*1.10231)/1000</f>
        <v>71.117954731999987</v>
      </c>
      <c r="E22" s="8">
        <f>SUM(B22:D22)</f>
        <v>4501.6309547319997</v>
      </c>
      <c r="F22" s="8"/>
      <c r="G22" s="6">
        <f t="shared" si="0"/>
        <v>3173.8370743459996</v>
      </c>
      <c r="H22" s="8">
        <f>(894900.6*1.10231)/1000</f>
        <v>986.45788038599994</v>
      </c>
      <c r="I22" s="7">
        <f t="shared" si="1"/>
        <v>4160.2949547319995</v>
      </c>
      <c r="J22" s="7">
        <v>341.33600000000001</v>
      </c>
    </row>
    <row r="23" spans="1:10" ht="14.25" x14ac:dyDescent="0.2">
      <c r="A23" s="24" t="s">
        <v>3</v>
      </c>
      <c r="B23" s="61"/>
      <c r="C23" s="8">
        <f>SUM(C11:C22)</f>
        <v>51100.43</v>
      </c>
      <c r="D23" s="8">
        <f>SUM(D11:D22)</f>
        <v>639.45289700599983</v>
      </c>
      <c r="E23" s="8">
        <f>B11+C23+D23</f>
        <v>52141.897897005998</v>
      </c>
      <c r="F23" s="8"/>
      <c r="G23" s="6">
        <f>SUM(G11:G22)</f>
        <v>37966.877728954991</v>
      </c>
      <c r="H23" s="6">
        <f>SUM(H11:H22)</f>
        <v>13833.684168051001</v>
      </c>
      <c r="I23" s="7">
        <f>SUM(I11:I22)</f>
        <v>51800.561897005995</v>
      </c>
      <c r="J23" s="8"/>
    </row>
    <row r="24" spans="1:10" ht="14.25" x14ac:dyDescent="0.2">
      <c r="A24" s="24"/>
      <c r="B24" s="61"/>
      <c r="C24" s="8"/>
      <c r="D24" s="8"/>
      <c r="E24" s="8"/>
      <c r="F24" s="8"/>
      <c r="G24" s="8"/>
      <c r="H24" s="8"/>
      <c r="I24" s="8"/>
      <c r="J24" s="8"/>
    </row>
    <row r="25" spans="1:10" ht="15" x14ac:dyDescent="0.25">
      <c r="A25" s="60" t="s">
        <v>103</v>
      </c>
      <c r="B25" s="61"/>
      <c r="C25" s="8"/>
      <c r="D25" s="8"/>
      <c r="E25" s="8"/>
      <c r="F25" s="8"/>
      <c r="G25" s="8"/>
      <c r="H25" s="8"/>
      <c r="I25" s="8"/>
      <c r="J25" s="8"/>
    </row>
    <row r="26" spans="1:10" ht="14.25" x14ac:dyDescent="0.2">
      <c r="A26" s="24" t="s">
        <v>44</v>
      </c>
      <c r="B26" s="61">
        <f>J22</f>
        <v>341.33600000000001</v>
      </c>
      <c r="C26" s="8">
        <v>4615.5919999999996</v>
      </c>
      <c r="D26" s="8">
        <f>(63180.5*1.10231)/1000</f>
        <v>69.644496954999994</v>
      </c>
      <c r="E26" s="8">
        <f t="shared" ref="E26:E32" si="4">SUM(B26:D26)</f>
        <v>5026.5724969550001</v>
      </c>
      <c r="F26" s="7"/>
      <c r="G26" s="6">
        <f t="shared" ref="G26:G32" si="5">I26-H26</f>
        <v>3543.9302441150003</v>
      </c>
      <c r="H26" s="8">
        <f>(1005564*1.10231)/1000</f>
        <v>1108.44325284</v>
      </c>
      <c r="I26" s="7">
        <f t="shared" ref="I26:I32" si="6">E26-J26</f>
        <v>4652.3734969550005</v>
      </c>
      <c r="J26" s="7">
        <v>374.19900000000001</v>
      </c>
    </row>
    <row r="27" spans="1:10" ht="14.25" x14ac:dyDescent="0.2">
      <c r="A27" s="24" t="s">
        <v>45</v>
      </c>
      <c r="B27" s="61">
        <f t="shared" ref="B27:B32" si="7">J26</f>
        <v>374.19900000000001</v>
      </c>
      <c r="C27" s="8">
        <v>4516.2939999999999</v>
      </c>
      <c r="D27" s="8">
        <f>(61205.6*1.10231)/1000</f>
        <v>67.467544935999996</v>
      </c>
      <c r="E27" s="8">
        <f t="shared" si="4"/>
        <v>4957.9605449359997</v>
      </c>
      <c r="F27" s="7"/>
      <c r="G27" s="6">
        <f t="shared" si="5"/>
        <v>3223.2103220019999</v>
      </c>
      <c r="H27" s="8">
        <f>(1157871.4*1.10231)/1000</f>
        <v>1276.3332229339997</v>
      </c>
      <c r="I27" s="7">
        <f t="shared" si="6"/>
        <v>4499.5435449359993</v>
      </c>
      <c r="J27" s="7">
        <v>458.41699999999997</v>
      </c>
    </row>
    <row r="28" spans="1:10" ht="14.25" x14ac:dyDescent="0.2">
      <c r="A28" s="24" t="s">
        <v>46</v>
      </c>
      <c r="B28" s="61">
        <f t="shared" si="7"/>
        <v>458.41699999999997</v>
      </c>
      <c r="C28" s="8">
        <v>4540.9309999999996</v>
      </c>
      <c r="D28" s="8">
        <f>(58666.4*1.10231)/1000</f>
        <v>64.668559383999991</v>
      </c>
      <c r="E28" s="8">
        <f t="shared" si="4"/>
        <v>5064.0165593840002</v>
      </c>
      <c r="F28" s="7"/>
      <c r="G28" s="6">
        <f t="shared" si="5"/>
        <v>3257.6761174220001</v>
      </c>
      <c r="H28" s="8">
        <f>(1312650.2*1.10231)/1000</f>
        <v>1446.9474419619999</v>
      </c>
      <c r="I28" s="7">
        <f t="shared" si="6"/>
        <v>4704.6235593840001</v>
      </c>
      <c r="J28" s="7">
        <v>359.39299999999997</v>
      </c>
    </row>
    <row r="29" spans="1:10" ht="14.25" x14ac:dyDescent="0.2">
      <c r="A29" s="24" t="s">
        <v>47</v>
      </c>
      <c r="B29" s="61">
        <f t="shared" si="7"/>
        <v>359.39299999999997</v>
      </c>
      <c r="C29" s="8">
        <v>4665.652</v>
      </c>
      <c r="D29" s="8">
        <f>(62004.8*1.10231)/1000</f>
        <v>68.348511087999995</v>
      </c>
      <c r="E29" s="8">
        <f t="shared" si="4"/>
        <v>5093.3935110880002</v>
      </c>
      <c r="F29" s="7"/>
      <c r="G29" s="6">
        <f t="shared" si="5"/>
        <v>3080.2815676670002</v>
      </c>
      <c r="H29" s="8">
        <f>(1322049.1*1.10231)/1000</f>
        <v>1457.3079434209999</v>
      </c>
      <c r="I29" s="7">
        <f t="shared" si="6"/>
        <v>4537.5895110880001</v>
      </c>
      <c r="J29" s="7">
        <v>555.80399999999997</v>
      </c>
    </row>
    <row r="30" spans="1:10" ht="14.25" x14ac:dyDescent="0.2">
      <c r="A30" s="24" t="s">
        <v>48</v>
      </c>
      <c r="B30" s="61">
        <f t="shared" si="7"/>
        <v>555.80399999999997</v>
      </c>
      <c r="C30" s="8">
        <v>3918.6709999999998</v>
      </c>
      <c r="D30" s="8">
        <f>(60831.4*1.10231)/1000</f>
        <v>67.055060533999992</v>
      </c>
      <c r="E30" s="8">
        <f t="shared" si="4"/>
        <v>4541.5300605339999</v>
      </c>
      <c r="F30" s="7"/>
      <c r="G30" s="6">
        <f t="shared" si="5"/>
        <v>2640.8198255869997</v>
      </c>
      <c r="H30" s="8">
        <f>(1194443.7*1.10231)/1000</f>
        <v>1316.647234947</v>
      </c>
      <c r="I30" s="7">
        <f t="shared" si="6"/>
        <v>3957.4670605339998</v>
      </c>
      <c r="J30" s="7">
        <v>584.06299999999999</v>
      </c>
    </row>
    <row r="31" spans="1:10" ht="14.25" x14ac:dyDescent="0.2">
      <c r="A31" s="24" t="s">
        <v>49</v>
      </c>
      <c r="B31" s="61">
        <f t="shared" si="7"/>
        <v>584.06299999999999</v>
      </c>
      <c r="C31" s="8">
        <v>4476.5870000000004</v>
      </c>
      <c r="D31" s="8">
        <f>(66448.6*1.10231)/1000</f>
        <v>73.246956265999998</v>
      </c>
      <c r="E31" s="8">
        <f t="shared" si="4"/>
        <v>5133.8969562660004</v>
      </c>
      <c r="F31" s="7"/>
      <c r="G31" s="6">
        <f t="shared" si="5"/>
        <v>3387.3791584980008</v>
      </c>
      <c r="H31" s="8">
        <f>(1178232.8*1.10231)/1000</f>
        <v>1298.777797768</v>
      </c>
      <c r="I31" s="7">
        <f t="shared" si="6"/>
        <v>4686.1569562660006</v>
      </c>
      <c r="J31" s="7">
        <v>447.74</v>
      </c>
    </row>
    <row r="32" spans="1:10" ht="14.25" x14ac:dyDescent="0.2">
      <c r="A32" s="24" t="s">
        <v>50</v>
      </c>
      <c r="B32" s="61">
        <f t="shared" si="7"/>
        <v>447.74</v>
      </c>
      <c r="C32" s="8">
        <v>4044.7089999999998</v>
      </c>
      <c r="D32" s="8">
        <f>(61739.5*1.10231)/1000</f>
        <v>68.056068244999992</v>
      </c>
      <c r="E32" s="8">
        <f t="shared" si="4"/>
        <v>4560.5050682449992</v>
      </c>
      <c r="F32" s="7"/>
      <c r="G32" s="6">
        <f t="shared" si="5"/>
        <v>3050.7248173269991</v>
      </c>
      <c r="H32" s="8">
        <f>(959597.8*1.10231)/1000</f>
        <v>1057.774250918</v>
      </c>
      <c r="I32" s="7">
        <f t="shared" si="6"/>
        <v>4108.4990682449989</v>
      </c>
      <c r="J32" s="7">
        <v>452.00599999999997</v>
      </c>
    </row>
    <row r="33" spans="1:10" ht="14.25" x14ac:dyDescent="0.2">
      <c r="A33" s="24" t="s">
        <v>51</v>
      </c>
      <c r="B33" s="61">
        <f t="shared" ref="B33" si="8">J32</f>
        <v>452.00599999999997</v>
      </c>
      <c r="C33" s="8">
        <v>4122.884</v>
      </c>
      <c r="D33" s="8">
        <f>(59425.5*1.10231)/1000</f>
        <v>65.505322905</v>
      </c>
      <c r="E33" s="8">
        <f>SUM(B33:D33)</f>
        <v>4640.3953229050003</v>
      </c>
      <c r="F33" s="7"/>
      <c r="G33" s="6">
        <f t="shared" ref="G33:G37" si="9">I33-H33</f>
        <v>2948.6927628190006</v>
      </c>
      <c r="H33" s="8">
        <f>(952770.6*1.10231)/1000</f>
        <v>1050.2485600859998</v>
      </c>
      <c r="I33" s="7">
        <f>E33-J33</f>
        <v>3998.9413229050006</v>
      </c>
      <c r="J33" s="7">
        <v>641.45399999999995</v>
      </c>
    </row>
    <row r="34" spans="1:10" ht="14.25" x14ac:dyDescent="0.2">
      <c r="A34" s="24" t="s">
        <v>52</v>
      </c>
      <c r="B34" s="61">
        <f>J33</f>
        <v>641.45399999999995</v>
      </c>
      <c r="C34" s="8">
        <v>3833.951</v>
      </c>
      <c r="D34" s="8">
        <f>(57647.2*1.10231)/1000</f>
        <v>63.545085031999989</v>
      </c>
      <c r="E34" s="8">
        <f>SUM(B34:D34)</f>
        <v>4538.9500850320001</v>
      </c>
      <c r="F34" s="7"/>
      <c r="G34" s="6">
        <f t="shared" si="9"/>
        <v>3182.6439690309999</v>
      </c>
      <c r="H34" s="8">
        <f>(832167.1*1.10231)/1000</f>
        <v>917.30611600099996</v>
      </c>
      <c r="I34" s="7">
        <f>E34-J34</f>
        <v>4099.9500850320001</v>
      </c>
      <c r="J34" s="7">
        <v>439</v>
      </c>
    </row>
    <row r="35" spans="1:10" ht="14.25" x14ac:dyDescent="0.2">
      <c r="A35" s="24" t="s">
        <v>54</v>
      </c>
      <c r="B35" s="61">
        <f>J34</f>
        <v>439</v>
      </c>
      <c r="C35" s="8">
        <v>3966.4989999999998</v>
      </c>
      <c r="D35" s="8">
        <f>(80443.6*1.10231)/1000</f>
        <v>88.673784716</v>
      </c>
      <c r="E35" s="8">
        <f>SUM(B35:D35)</f>
        <v>4494.172784716</v>
      </c>
      <c r="F35" s="7"/>
      <c r="G35" s="6">
        <f t="shared" si="9"/>
        <v>2936.1778779750002</v>
      </c>
      <c r="H35" s="8">
        <f>(980821.1*1.10231)/1000</f>
        <v>1081.1689067409998</v>
      </c>
      <c r="I35" s="7">
        <f>E35-J35</f>
        <v>4017.346784716</v>
      </c>
      <c r="J35" s="7">
        <v>476.82600000000002</v>
      </c>
    </row>
    <row r="36" spans="1:10" ht="14.25" x14ac:dyDescent="0.2">
      <c r="A36" s="24" t="s">
        <v>55</v>
      </c>
      <c r="B36" s="61">
        <f>J35</f>
        <v>476.82600000000002</v>
      </c>
      <c r="C36" s="8">
        <v>3995.2939999999999</v>
      </c>
      <c r="D36" s="8">
        <f>(42840.9*1.10231)/1000</f>
        <v>47.223952478999998</v>
      </c>
      <c r="E36" s="8">
        <f>SUM(B36:D36)</f>
        <v>4519.3439524790001</v>
      </c>
      <c r="F36" s="7"/>
      <c r="G36" s="6">
        <f t="shared" si="9"/>
        <v>3177.8774938420006</v>
      </c>
      <c r="H36" s="8">
        <f>(869042.7*1.10231)/1000</f>
        <v>957.95445863699979</v>
      </c>
      <c r="I36" s="7">
        <f>E36-J36</f>
        <v>4135.8319524790004</v>
      </c>
      <c r="J36" s="7">
        <v>383.512</v>
      </c>
    </row>
    <row r="37" spans="1:10" ht="14.25" x14ac:dyDescent="0.2">
      <c r="A37" s="24" t="s">
        <v>57</v>
      </c>
      <c r="B37" s="61">
        <f>J36</f>
        <v>383.512</v>
      </c>
      <c r="C37" s="8">
        <v>3867.6509999999998</v>
      </c>
      <c r="D37" s="8">
        <f>(35777.1*1.10231)/1000</f>
        <v>39.437455100999991</v>
      </c>
      <c r="E37" s="8">
        <f>SUM(B37:D37)</f>
        <v>4290.6004551009992</v>
      </c>
      <c r="F37" s="7"/>
      <c r="G37" s="6">
        <f t="shared" si="9"/>
        <v>3151.0161439659992</v>
      </c>
      <c r="H37" s="8">
        <f>(724658.5*1.10231)/1000</f>
        <v>798.79831113499995</v>
      </c>
      <c r="I37" s="7">
        <f>E37-J37</f>
        <v>3949.8144551009991</v>
      </c>
      <c r="J37" s="7">
        <v>340.786</v>
      </c>
    </row>
    <row r="38" spans="1:10" ht="14.25" x14ac:dyDescent="0.2">
      <c r="A38" s="18" t="s">
        <v>104</v>
      </c>
      <c r="B38" s="62"/>
      <c r="C38" s="50">
        <f>SUM(C26:C37)</f>
        <v>50564.714999999989</v>
      </c>
      <c r="D38" s="50">
        <f>SUM(D26:D37)</f>
        <v>782.87279764099992</v>
      </c>
      <c r="E38" s="50">
        <f>B26+C38+D38</f>
        <v>51688.923797640993</v>
      </c>
      <c r="F38" s="50"/>
      <c r="G38" s="50">
        <f>SUM(G26:G37)</f>
        <v>37580.430300251006</v>
      </c>
      <c r="H38" s="50">
        <f>SUM(H26:H37)</f>
        <v>13767.707497390002</v>
      </c>
      <c r="I38" s="50">
        <f>SUM(I26:I37)</f>
        <v>51348.137797641</v>
      </c>
      <c r="J38" s="50"/>
    </row>
    <row r="39" spans="1:10" ht="16.5" x14ac:dyDescent="0.2">
      <c r="A39" s="63" t="s">
        <v>195</v>
      </c>
      <c r="B39" s="20"/>
      <c r="C39" s="20"/>
      <c r="D39" s="20"/>
      <c r="E39" s="20"/>
      <c r="F39" s="20"/>
      <c r="G39" s="20"/>
      <c r="H39" s="20"/>
      <c r="I39" s="20"/>
      <c r="J39" s="20"/>
    </row>
    <row r="40" spans="1:10" ht="14.25" x14ac:dyDescent="0.2">
      <c r="A40" s="20" t="s">
        <v>81</v>
      </c>
      <c r="B40" s="20"/>
      <c r="C40" s="20"/>
      <c r="D40" s="20"/>
      <c r="E40" s="20"/>
      <c r="F40" s="20"/>
      <c r="G40" s="20"/>
      <c r="H40" s="20"/>
      <c r="I40" s="20"/>
      <c r="J40" s="20"/>
    </row>
    <row r="41" spans="1:10" ht="14.25" x14ac:dyDescent="0.2">
      <c r="A41" s="26" t="s">
        <v>18</v>
      </c>
      <c r="B41" s="52">
        <f ca="1">NOW()</f>
        <v>44510.570713194444</v>
      </c>
      <c r="C41" s="46"/>
      <c r="D41" s="39"/>
      <c r="E41" s="39"/>
      <c r="F41" s="39"/>
      <c r="G41" s="39"/>
      <c r="H41" s="39"/>
      <c r="I41" s="39"/>
      <c r="J41" s="39"/>
    </row>
    <row r="42" spans="1:10" x14ac:dyDescent="0.2">
      <c r="A42" s="64"/>
      <c r="B42" s="65"/>
      <c r="C42" s="66"/>
      <c r="D42" s="65"/>
      <c r="E42" s="149"/>
      <c r="F42" s="65"/>
      <c r="G42" s="65"/>
      <c r="H42" s="67"/>
      <c r="I42" s="149"/>
      <c r="J42" s="65"/>
    </row>
    <row r="43" spans="1:10" x14ac:dyDescent="0.2">
      <c r="A43" s="64"/>
      <c r="B43" s="65"/>
      <c r="C43" s="65"/>
      <c r="D43" s="65"/>
      <c r="E43" s="65"/>
      <c r="F43" s="65"/>
      <c r="G43" s="65"/>
      <c r="H43" s="65"/>
      <c r="I43" s="65"/>
      <c r="J43" s="65"/>
    </row>
    <row r="44" spans="1:10" x14ac:dyDescent="0.2">
      <c r="A44" s="64"/>
      <c r="B44" s="64"/>
      <c r="C44" s="64"/>
      <c r="D44" s="64"/>
      <c r="E44" s="64"/>
      <c r="F44" s="64"/>
      <c r="G44" s="64"/>
      <c r="H44" s="64"/>
      <c r="I44" s="64"/>
      <c r="J44" s="64"/>
    </row>
    <row r="45" spans="1:10" x14ac:dyDescent="0.2">
      <c r="A45" s="64"/>
      <c r="B45" s="64"/>
      <c r="C45" s="64"/>
      <c r="D45" s="64"/>
      <c r="E45" s="64"/>
      <c r="F45" s="64"/>
      <c r="G45" s="64"/>
      <c r="H45" s="64"/>
      <c r="I45" s="64"/>
      <c r="J45" s="64"/>
    </row>
  </sheetData>
  <mergeCells count="3">
    <mergeCell ref="G2:I2"/>
    <mergeCell ref="B5:J5"/>
    <mergeCell ref="B2:E2"/>
  </mergeCells>
  <phoneticPr fontId="12" type="noConversion"/>
  <pageMargins left="0.75" right="0.75" top="1" bottom="1" header="0.5" footer="0.5"/>
  <pageSetup scale="8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N42"/>
  <sheetViews>
    <sheetView showGridLines="0" zoomScale="70" zoomScaleNormal="70" workbookViewId="0"/>
  </sheetViews>
  <sheetFormatPr defaultColWidth="9.140625" defaultRowHeight="12.75" x14ac:dyDescent="0.2"/>
  <cols>
    <col min="1" max="1" width="14.5703125" style="19" customWidth="1"/>
    <col min="2" max="2" width="12.28515625" style="19" bestFit="1" customWidth="1"/>
    <col min="3" max="3" width="11.7109375" style="19" bestFit="1" customWidth="1"/>
    <col min="4" max="4" width="11" style="19" bestFit="1" customWidth="1"/>
    <col min="5" max="5" width="11.28515625" style="19" bestFit="1" customWidth="1"/>
    <col min="6" max="6" width="3.7109375" style="19" customWidth="1"/>
    <col min="7" max="7" width="11.5703125" style="19" bestFit="1" customWidth="1"/>
    <col min="8" max="8" width="10.7109375" style="19" customWidth="1"/>
    <col min="9" max="9" width="12.7109375" style="19" customWidth="1"/>
    <col min="10" max="10" width="10.28515625" style="19" bestFit="1" customWidth="1"/>
    <col min="11" max="11" width="11.5703125" style="19" bestFit="1" customWidth="1"/>
    <col min="12" max="12" width="10.28515625" style="19" bestFit="1" customWidth="1"/>
    <col min="13" max="16384" width="9.140625" style="19"/>
  </cols>
  <sheetData>
    <row r="1" spans="1:13" ht="14.25" x14ac:dyDescent="0.2">
      <c r="A1" s="18" t="s">
        <v>114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3" ht="14.25" x14ac:dyDescent="0.2">
      <c r="A2" s="20"/>
      <c r="B2" s="164" t="s">
        <v>0</v>
      </c>
      <c r="C2" s="164"/>
      <c r="D2" s="164"/>
      <c r="E2" s="164"/>
      <c r="F2" s="24"/>
      <c r="G2" s="164" t="s">
        <v>17</v>
      </c>
      <c r="H2" s="164"/>
      <c r="I2" s="164"/>
      <c r="J2" s="55"/>
      <c r="K2" s="55"/>
      <c r="L2" s="20"/>
    </row>
    <row r="3" spans="1:13" ht="14.25" x14ac:dyDescent="0.2">
      <c r="A3" s="20" t="s">
        <v>60</v>
      </c>
      <c r="B3" s="22" t="s">
        <v>28</v>
      </c>
      <c r="C3" s="41" t="s">
        <v>1</v>
      </c>
      <c r="D3" s="41" t="s">
        <v>29</v>
      </c>
      <c r="E3" s="41" t="s">
        <v>24</v>
      </c>
      <c r="F3" s="41"/>
      <c r="G3" s="55" t="s">
        <v>27</v>
      </c>
      <c r="H3" s="55"/>
      <c r="I3" s="55"/>
      <c r="J3" s="41" t="s">
        <v>31</v>
      </c>
      <c r="K3" s="41" t="s">
        <v>24</v>
      </c>
      <c r="L3" s="41" t="s">
        <v>26</v>
      </c>
    </row>
    <row r="4" spans="1:13" ht="16.5" x14ac:dyDescent="0.2">
      <c r="A4" s="27" t="s">
        <v>61</v>
      </c>
      <c r="B4" s="29" t="s">
        <v>25</v>
      </c>
      <c r="C4" s="30"/>
      <c r="D4" s="30"/>
      <c r="E4" s="30"/>
      <c r="F4" s="30"/>
      <c r="G4" s="29" t="s">
        <v>3</v>
      </c>
      <c r="H4" s="29" t="s">
        <v>130</v>
      </c>
      <c r="I4" s="29" t="s">
        <v>134</v>
      </c>
      <c r="J4" s="30"/>
      <c r="K4" s="30"/>
      <c r="L4" s="41" t="s">
        <v>70</v>
      </c>
    </row>
    <row r="5" spans="1:13" ht="14.25" x14ac:dyDescent="0.2">
      <c r="A5" s="20"/>
      <c r="B5" s="166" t="s">
        <v>76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</row>
    <row r="6" spans="1:13" ht="14.25" x14ac:dyDescent="0.2">
      <c r="A6" s="20" t="s">
        <v>100</v>
      </c>
      <c r="B6" s="59">
        <f>B11</f>
        <v>1775.316</v>
      </c>
      <c r="C6" s="59">
        <f>C23</f>
        <v>24911.120999999996</v>
      </c>
      <c r="D6" s="59">
        <f>D23</f>
        <v>319.88668388040003</v>
      </c>
      <c r="E6" s="59">
        <f>E23</f>
        <v>27006.323683880393</v>
      </c>
      <c r="F6" s="59"/>
      <c r="G6" s="59">
        <f>G23</f>
        <v>22316.958470009602</v>
      </c>
      <c r="H6" s="38">
        <f>H23</f>
        <v>8657.8000000000011</v>
      </c>
      <c r="I6" s="38">
        <f>I23</f>
        <v>13659.158470009601</v>
      </c>
      <c r="J6" s="59">
        <f>J23</f>
        <v>2836.6902138707997</v>
      </c>
      <c r="K6" s="59">
        <f>K23</f>
        <v>25153.648683880405</v>
      </c>
      <c r="L6" s="59">
        <f>L22</f>
        <v>1852.675</v>
      </c>
      <c r="M6" s="129"/>
    </row>
    <row r="7" spans="1:13" ht="16.5" x14ac:dyDescent="0.2">
      <c r="A7" s="20" t="s">
        <v>101</v>
      </c>
      <c r="B7" s="59">
        <f>L6</f>
        <v>1852.675</v>
      </c>
      <c r="C7" s="59">
        <f>C38</f>
        <v>25022.667000000001</v>
      </c>
      <c r="D7" s="59">
        <f>D38</f>
        <v>301.9644297936</v>
      </c>
      <c r="E7" s="59">
        <f>E38</f>
        <v>27177.3064297936</v>
      </c>
      <c r="F7" s="59"/>
      <c r="G7" s="59">
        <f>K7-J7</f>
        <v>23276.9821278038</v>
      </c>
      <c r="H7" s="38">
        <v>8850</v>
      </c>
      <c r="I7" s="38">
        <f>G7-H7</f>
        <v>14426.9821278038</v>
      </c>
      <c r="J7" s="59">
        <f>J38</f>
        <v>1723.4983019897998</v>
      </c>
      <c r="K7" s="59">
        <f>E7-L7</f>
        <v>25000.480429793599</v>
      </c>
      <c r="L7" s="59">
        <f>L37</f>
        <v>2176.826</v>
      </c>
      <c r="M7" s="127"/>
    </row>
    <row r="8" spans="1:13" ht="16.5" x14ac:dyDescent="0.2">
      <c r="A8" s="20" t="s">
        <v>126</v>
      </c>
      <c r="B8" s="59">
        <f>L7</f>
        <v>2176.826</v>
      </c>
      <c r="C8" s="59">
        <v>25535</v>
      </c>
      <c r="D8" s="59">
        <v>450</v>
      </c>
      <c r="E8" s="59">
        <f>SUM(B8:D8)</f>
        <v>28161.826000000001</v>
      </c>
      <c r="F8" s="59"/>
      <c r="G8" s="59">
        <f>K8-J8</f>
        <v>25000</v>
      </c>
      <c r="H8" s="38">
        <v>11000</v>
      </c>
      <c r="I8" s="38">
        <f>G8-H8</f>
        <v>14000</v>
      </c>
      <c r="J8" s="59">
        <v>1250</v>
      </c>
      <c r="K8" s="59">
        <f>E8-L8</f>
        <v>26250</v>
      </c>
      <c r="L8" s="59">
        <v>1911.8260000000009</v>
      </c>
    </row>
    <row r="9" spans="1:13" ht="14.25" x14ac:dyDescent="0.2">
      <c r="A9" s="20"/>
      <c r="B9" s="59"/>
      <c r="C9" s="59"/>
      <c r="D9" s="59"/>
      <c r="E9" s="59"/>
      <c r="F9" s="59"/>
      <c r="G9" s="59"/>
      <c r="H9" s="59"/>
      <c r="I9" s="128"/>
      <c r="J9" s="59"/>
      <c r="K9" s="59"/>
      <c r="L9" s="59"/>
    </row>
    <row r="10" spans="1:13" ht="15" x14ac:dyDescent="0.25">
      <c r="A10" s="42" t="s">
        <v>100</v>
      </c>
      <c r="B10" s="68"/>
      <c r="C10" s="8"/>
      <c r="D10" s="8"/>
      <c r="E10" s="8"/>
      <c r="F10" s="7"/>
      <c r="G10" s="8"/>
      <c r="H10" s="8"/>
      <c r="I10" s="8"/>
      <c r="J10" s="8"/>
      <c r="K10" s="8"/>
      <c r="L10" s="7"/>
    </row>
    <row r="11" spans="1:13" ht="14.25" x14ac:dyDescent="0.2">
      <c r="A11" s="24" t="s">
        <v>44</v>
      </c>
      <c r="B11" s="7">
        <f>1400.569+374.747</f>
        <v>1775.316</v>
      </c>
      <c r="C11" s="8">
        <v>2150</v>
      </c>
      <c r="D11" s="8">
        <f>(13810.4*2204.622)/1000000</f>
        <v>30.446711668799995</v>
      </c>
      <c r="E11" s="8">
        <f t="shared" ref="E11:E18" si="0">SUM(B11:D11)</f>
        <v>3955.7627116688</v>
      </c>
      <c r="F11" s="7"/>
      <c r="G11" s="7">
        <f t="shared" ref="G11:G22" si="1">K11-J11</f>
        <v>1882.0792997521999</v>
      </c>
      <c r="H11" s="8">
        <v>624.20000000000005</v>
      </c>
      <c r="I11" s="8">
        <f t="shared" ref="I11:I22" si="2">G11-H11</f>
        <v>1257.8792997521998</v>
      </c>
      <c r="J11" s="8">
        <f>(114615.3*2204.622)/1000000</f>
        <v>252.68341191659999</v>
      </c>
      <c r="K11" s="8">
        <f t="shared" ref="K11:K22" si="3">E11-L11</f>
        <v>2134.7627116688</v>
      </c>
      <c r="L11" s="7">
        <v>1821</v>
      </c>
    </row>
    <row r="12" spans="1:13" ht="14.25" x14ac:dyDescent="0.2">
      <c r="A12" s="24" t="s">
        <v>45</v>
      </c>
      <c r="B12" s="7">
        <f t="shared" ref="B12:B22" si="4">L11</f>
        <v>1821</v>
      </c>
      <c r="C12" s="8">
        <v>1999.6</v>
      </c>
      <c r="D12" s="8">
        <f>(11095*2204.622)/1000000</f>
        <v>24.460281089999999</v>
      </c>
      <c r="E12" s="8">
        <f t="shared" si="0"/>
        <v>3845.06028109</v>
      </c>
      <c r="F12" s="7"/>
      <c r="G12" s="7">
        <f t="shared" si="1"/>
        <v>1706.9654346249999</v>
      </c>
      <c r="H12" s="8">
        <v>593.20000000000005</v>
      </c>
      <c r="I12" s="8">
        <f t="shared" si="2"/>
        <v>1113.7654346249999</v>
      </c>
      <c r="J12" s="8">
        <f>(116907.5*2204.622)/1000000</f>
        <v>257.73684646499999</v>
      </c>
      <c r="K12" s="8">
        <f t="shared" si="3"/>
        <v>1964.70228109</v>
      </c>
      <c r="L12" s="7">
        <v>1880.3579999999999</v>
      </c>
    </row>
    <row r="13" spans="1:13" ht="14.25" x14ac:dyDescent="0.2">
      <c r="A13" s="24" t="s">
        <v>46</v>
      </c>
      <c r="B13" s="7">
        <f t="shared" si="4"/>
        <v>1880.3579999999999</v>
      </c>
      <c r="C13" s="8">
        <v>2110.9</v>
      </c>
      <c r="D13" s="8">
        <f>(16031.9*2204.622)/1000000</f>
        <v>35.344279441799998</v>
      </c>
      <c r="E13" s="8">
        <f t="shared" si="0"/>
        <v>4026.6022794418</v>
      </c>
      <c r="F13" s="7"/>
      <c r="G13" s="7">
        <f t="shared" si="1"/>
        <v>1707.6782996576001</v>
      </c>
      <c r="H13" s="8">
        <v>607.70000000000005</v>
      </c>
      <c r="I13" s="8">
        <f t="shared" si="2"/>
        <v>1099.9782996576</v>
      </c>
      <c r="J13" s="8">
        <f>(83851.1*2204.622)/1000000</f>
        <v>184.85997978420002</v>
      </c>
      <c r="K13" s="8">
        <f t="shared" si="3"/>
        <v>1892.5382794418001</v>
      </c>
      <c r="L13" s="7">
        <v>2134.0639999999999</v>
      </c>
    </row>
    <row r="14" spans="1:13" ht="14.25" x14ac:dyDescent="0.2">
      <c r="A14" s="24" t="s">
        <v>47</v>
      </c>
      <c r="B14" s="7">
        <f t="shared" si="4"/>
        <v>2134.0639999999999</v>
      </c>
      <c r="C14" s="8">
        <v>2154.4</v>
      </c>
      <c r="D14" s="8">
        <f>(14786.7*2204.622)/1000000</f>
        <v>32.599084127399998</v>
      </c>
      <c r="E14" s="8">
        <f t="shared" si="0"/>
        <v>4321.0630841273996</v>
      </c>
      <c r="F14" s="7"/>
      <c r="G14" s="7">
        <f t="shared" si="1"/>
        <v>1839.8681564549997</v>
      </c>
      <c r="H14" s="8">
        <v>587.70000000000005</v>
      </c>
      <c r="I14" s="8">
        <f t="shared" si="2"/>
        <v>1252.1681564549997</v>
      </c>
      <c r="J14" s="8">
        <f>(56834.2*2204.622)/1000000</f>
        <v>125.29792767239998</v>
      </c>
      <c r="K14" s="8">
        <f t="shared" si="3"/>
        <v>1965.1660841273997</v>
      </c>
      <c r="L14" s="7">
        <v>2355.8969999999999</v>
      </c>
    </row>
    <row r="15" spans="1:13" ht="14.25" x14ac:dyDescent="0.2">
      <c r="A15" s="24" t="s">
        <v>48</v>
      </c>
      <c r="B15" s="7">
        <f t="shared" si="4"/>
        <v>2355.8969999999999</v>
      </c>
      <c r="C15" s="8">
        <v>1999.5</v>
      </c>
      <c r="D15" s="8">
        <f>(12724.7*2204.622)/1000000</f>
        <v>28.053153563399999</v>
      </c>
      <c r="E15" s="8">
        <f t="shared" si="0"/>
        <v>4383.4501535633999</v>
      </c>
      <c r="F15" s="7"/>
      <c r="G15" s="7">
        <f t="shared" si="1"/>
        <v>1610.9762973402003</v>
      </c>
      <c r="H15" s="8">
        <v>641.4</v>
      </c>
      <c r="I15" s="8">
        <f t="shared" si="2"/>
        <v>969.57629734020031</v>
      </c>
      <c r="J15" s="8">
        <f>(179475.6*2204.622)/1000000</f>
        <v>395.67585622319996</v>
      </c>
      <c r="K15" s="8">
        <f t="shared" si="3"/>
        <v>2006.6521535634001</v>
      </c>
      <c r="L15" s="7">
        <v>2376.7979999999998</v>
      </c>
    </row>
    <row r="16" spans="1:13" ht="14.25" x14ac:dyDescent="0.2">
      <c r="A16" s="24" t="s">
        <v>49</v>
      </c>
      <c r="B16" s="7">
        <f t="shared" si="4"/>
        <v>2376.7979999999998</v>
      </c>
      <c r="C16" s="8">
        <v>2201.1</v>
      </c>
      <c r="D16" s="8">
        <f>(10771*2204.622)/1000000</f>
        <v>23.745983561999999</v>
      </c>
      <c r="E16" s="8">
        <f t="shared" si="0"/>
        <v>4601.6439835619994</v>
      </c>
      <c r="F16" s="7"/>
      <c r="G16" s="7">
        <f t="shared" si="1"/>
        <v>1954.1663696131995</v>
      </c>
      <c r="H16" s="8">
        <v>722.7</v>
      </c>
      <c r="I16" s="8">
        <f t="shared" si="2"/>
        <v>1231.4663696131995</v>
      </c>
      <c r="J16" s="8">
        <f>(145550.4*2204.622)/1000000</f>
        <v>320.88361394879996</v>
      </c>
      <c r="K16" s="8">
        <f t="shared" si="3"/>
        <v>2275.0499835619994</v>
      </c>
      <c r="L16" s="7">
        <v>2326.5940000000001</v>
      </c>
    </row>
    <row r="17" spans="1:13" ht="14.25" x14ac:dyDescent="0.2">
      <c r="A17" s="24" t="s">
        <v>50</v>
      </c>
      <c r="B17" s="7">
        <f t="shared" si="4"/>
        <v>2326.5940000000001</v>
      </c>
      <c r="C17" s="8">
        <v>2099.5</v>
      </c>
      <c r="D17" s="8">
        <f>(11098.6*2204.622)/1000000</f>
        <v>24.468217729199999</v>
      </c>
      <c r="E17" s="8">
        <f t="shared" si="0"/>
        <v>4450.5622177291998</v>
      </c>
      <c r="F17" s="7"/>
      <c r="G17" s="7">
        <f t="shared" si="1"/>
        <v>1619.7662729857998</v>
      </c>
      <c r="H17" s="8">
        <v>738.5</v>
      </c>
      <c r="I17" s="8">
        <f t="shared" si="2"/>
        <v>881.26627298579979</v>
      </c>
      <c r="J17" s="8">
        <f>(104414.7*2204.622)/1000000</f>
        <v>230.19494474339999</v>
      </c>
      <c r="K17" s="8">
        <f t="shared" si="3"/>
        <v>1849.9612177291997</v>
      </c>
      <c r="L17" s="7">
        <v>2600.6010000000001</v>
      </c>
    </row>
    <row r="18" spans="1:13" ht="14.25" x14ac:dyDescent="0.2">
      <c r="A18" s="24" t="s">
        <v>51</v>
      </c>
      <c r="B18" s="7">
        <f t="shared" si="4"/>
        <v>2600.6010000000001</v>
      </c>
      <c r="C18" s="8">
        <v>2057.6</v>
      </c>
      <c r="D18" s="8">
        <f>(11013.3*2204.622)/1000000</f>
        <v>24.280163472599998</v>
      </c>
      <c r="E18" s="8">
        <f t="shared" si="0"/>
        <v>4682.4811634726002</v>
      </c>
      <c r="F18" s="7"/>
      <c r="G18" s="7">
        <f t="shared" si="1"/>
        <v>1879.2416828296002</v>
      </c>
      <c r="H18" s="8">
        <v>872</v>
      </c>
      <c r="I18" s="8">
        <f t="shared" si="2"/>
        <v>1007.2416828296002</v>
      </c>
      <c r="J18" s="8">
        <f>(162306.5*2204.622)/1000000</f>
        <v>357.82448064299996</v>
      </c>
      <c r="K18" s="8">
        <f t="shared" si="3"/>
        <v>2237.0661634726002</v>
      </c>
      <c r="L18" s="7">
        <v>2445.415</v>
      </c>
    </row>
    <row r="19" spans="1:13" ht="14.25" x14ac:dyDescent="0.2">
      <c r="A19" s="24" t="s">
        <v>52</v>
      </c>
      <c r="B19" s="7">
        <f t="shared" si="4"/>
        <v>2445.415</v>
      </c>
      <c r="C19" s="8">
        <v>2035.3</v>
      </c>
      <c r="D19" s="8">
        <f>(11446.3*2204.622)/1000000</f>
        <v>25.234764798599997</v>
      </c>
      <c r="E19" s="8">
        <f>SUM(B19:D19)</f>
        <v>4505.9497647986</v>
      </c>
      <c r="F19" s="7"/>
      <c r="G19" s="7">
        <f t="shared" si="1"/>
        <v>2067.4719706057999</v>
      </c>
      <c r="H19" s="8">
        <v>813.7</v>
      </c>
      <c r="I19" s="8">
        <f t="shared" si="2"/>
        <v>1253.7719706057999</v>
      </c>
      <c r="J19" s="8">
        <f>(76052.4*2204.622)/1000000</f>
        <v>167.66679419279998</v>
      </c>
      <c r="K19" s="8">
        <f t="shared" si="3"/>
        <v>2235.1387647985998</v>
      </c>
      <c r="L19" s="7">
        <v>2270.8110000000001</v>
      </c>
    </row>
    <row r="20" spans="1:13" ht="14.25" x14ac:dyDescent="0.2">
      <c r="A20" s="24" t="s">
        <v>54</v>
      </c>
      <c r="B20" s="7">
        <f t="shared" si="4"/>
        <v>2270.8110000000001</v>
      </c>
      <c r="C20" s="8">
        <v>2122.8000000000002</v>
      </c>
      <c r="D20" s="8">
        <f>(12544.2*2204.622)/1000000</f>
        <v>27.655219292399998</v>
      </c>
      <c r="E20" s="8">
        <f>SUM(B20:D20)</f>
        <v>4421.2662192924008</v>
      </c>
      <c r="F20" s="7"/>
      <c r="G20" s="7">
        <f t="shared" si="1"/>
        <v>2133.4107486692005</v>
      </c>
      <c r="H20" s="8">
        <v>841.5</v>
      </c>
      <c r="I20" s="8">
        <f t="shared" si="2"/>
        <v>1291.9107486692005</v>
      </c>
      <c r="J20" s="8">
        <f>(74675.6*2204.622)/1000000</f>
        <v>164.63147062319999</v>
      </c>
      <c r="K20" s="8">
        <f t="shared" si="3"/>
        <v>2298.0422192924007</v>
      </c>
      <c r="L20" s="7">
        <v>2123.2240000000002</v>
      </c>
    </row>
    <row r="21" spans="1:13" ht="14.25" x14ac:dyDescent="0.2">
      <c r="A21" s="24" t="s">
        <v>55</v>
      </c>
      <c r="B21" s="7">
        <f t="shared" si="4"/>
        <v>2123.2240000000002</v>
      </c>
      <c r="C21" s="8">
        <v>2012.8</v>
      </c>
      <c r="D21" s="8">
        <f>(10325.1*2204.622)/1000000</f>
        <v>22.7629426122</v>
      </c>
      <c r="E21" s="8">
        <f>SUM(B21:D21)</f>
        <v>4158.7869426122006</v>
      </c>
      <c r="F21" s="7"/>
      <c r="G21" s="7">
        <f t="shared" si="1"/>
        <v>2013.3036127298008</v>
      </c>
      <c r="H21" s="8">
        <v>812</v>
      </c>
      <c r="I21" s="8">
        <f t="shared" si="2"/>
        <v>1201.3036127298008</v>
      </c>
      <c r="J21" s="8">
        <f>(90889.2*2204.622)/1000000</f>
        <v>200.37632988239997</v>
      </c>
      <c r="K21" s="8">
        <f t="shared" si="3"/>
        <v>2213.6799426122006</v>
      </c>
      <c r="L21" s="7">
        <v>1945.107</v>
      </c>
    </row>
    <row r="22" spans="1:13" ht="14.25" x14ac:dyDescent="0.2">
      <c r="A22" s="24" t="s">
        <v>57</v>
      </c>
      <c r="B22" s="7">
        <f t="shared" si="4"/>
        <v>1945.107</v>
      </c>
      <c r="C22" s="8">
        <v>1967.6210000000001</v>
      </c>
      <c r="D22" s="8">
        <f>(9451*2204.622)/1000000</f>
        <v>20.835882521999999</v>
      </c>
      <c r="E22" s="8">
        <f>SUM(B22:D22)</f>
        <v>3933.5638825219999</v>
      </c>
      <c r="F22" s="7"/>
      <c r="G22" s="7">
        <f t="shared" si="1"/>
        <v>1902.0303247462002</v>
      </c>
      <c r="H22" s="8">
        <v>803.2</v>
      </c>
      <c r="I22" s="8">
        <f t="shared" si="2"/>
        <v>1098.8303247462002</v>
      </c>
      <c r="J22" s="8">
        <f>(81128.9*2204.622)/1000000</f>
        <v>178.85855777579997</v>
      </c>
      <c r="K22" s="8">
        <f t="shared" si="3"/>
        <v>2080.8888825220001</v>
      </c>
      <c r="L22" s="7">
        <v>1852.675</v>
      </c>
      <c r="M22" s="48"/>
    </row>
    <row r="23" spans="1:13" ht="14.25" x14ac:dyDescent="0.2">
      <c r="A23" s="24" t="s">
        <v>3</v>
      </c>
      <c r="B23" s="7"/>
      <c r="C23" s="8">
        <f>SUM(C11:C22)</f>
        <v>24911.120999999996</v>
      </c>
      <c r="D23" s="8">
        <f t="shared" ref="D23:K23" si="5">SUM(D11:D22)</f>
        <v>319.88668388040003</v>
      </c>
      <c r="E23" s="8">
        <f>B11+C23+D23</f>
        <v>27006.323683880393</v>
      </c>
      <c r="F23" s="8"/>
      <c r="G23" s="8">
        <f t="shared" si="5"/>
        <v>22316.958470009602</v>
      </c>
      <c r="H23" s="8">
        <f t="shared" si="5"/>
        <v>8657.8000000000011</v>
      </c>
      <c r="I23" s="8">
        <f t="shared" si="5"/>
        <v>13659.158470009601</v>
      </c>
      <c r="J23" s="8">
        <f t="shared" si="5"/>
        <v>2836.6902138707997</v>
      </c>
      <c r="K23" s="8">
        <f t="shared" si="5"/>
        <v>25153.648683880405</v>
      </c>
      <c r="L23" s="7"/>
    </row>
    <row r="24" spans="1:13" ht="14.25" x14ac:dyDescent="0.2">
      <c r="A24" s="24"/>
      <c r="B24" s="68"/>
      <c r="C24" s="8"/>
      <c r="D24" s="134"/>
      <c r="E24" s="8"/>
      <c r="F24" s="7"/>
      <c r="G24" s="8"/>
      <c r="H24" s="8"/>
      <c r="I24" s="8"/>
      <c r="J24" s="8"/>
      <c r="K24" s="8"/>
      <c r="L24" s="7"/>
    </row>
    <row r="25" spans="1:13" ht="15" x14ac:dyDescent="0.25">
      <c r="A25" s="42" t="s">
        <v>103</v>
      </c>
      <c r="B25" s="68"/>
      <c r="C25" s="8"/>
      <c r="D25" s="8"/>
      <c r="E25" s="8"/>
      <c r="F25" s="7"/>
      <c r="G25" s="8"/>
      <c r="H25" s="8"/>
      <c r="I25" s="8"/>
      <c r="J25" s="8"/>
      <c r="K25" s="8"/>
      <c r="L25" s="7"/>
    </row>
    <row r="26" spans="1:13" ht="14.25" x14ac:dyDescent="0.2">
      <c r="A26" s="24" t="s">
        <v>44</v>
      </c>
      <c r="B26" s="7">
        <f>L22</f>
        <v>1852.675</v>
      </c>
      <c r="C26" s="8">
        <v>2282.471</v>
      </c>
      <c r="D26" s="8">
        <f>(9279.7*2204.622)/1000000</f>
        <v>20.4582307734</v>
      </c>
      <c r="E26" s="8">
        <f t="shared" ref="E26:E32" si="6">SUM(B26:D26)</f>
        <v>4155.6042307733996</v>
      </c>
      <c r="F26" s="7"/>
      <c r="G26" s="7">
        <v>2003.5</v>
      </c>
      <c r="H26" s="8">
        <v>790</v>
      </c>
      <c r="I26" s="8">
        <v>1208.5</v>
      </c>
      <c r="J26" s="8">
        <f>(84043.5*2204.622)/1000000</f>
        <v>185.28414905699998</v>
      </c>
      <c r="K26" s="8">
        <f t="shared" ref="K26:K32" si="7">E26-L26</f>
        <v>2187.5932307733997</v>
      </c>
      <c r="L26" s="7">
        <v>1968.011</v>
      </c>
    </row>
    <row r="27" spans="1:13" ht="14.25" x14ac:dyDescent="0.2">
      <c r="A27" s="24" t="s">
        <v>45</v>
      </c>
      <c r="B27" s="7">
        <f t="shared" ref="B27:B32" si="8">L26</f>
        <v>1968.011</v>
      </c>
      <c r="C27" s="8">
        <v>2206.7919999999999</v>
      </c>
      <c r="D27" s="8">
        <f>(9584.1*2204.622)/1000000</f>
        <v>21.129317710200002</v>
      </c>
      <c r="E27" s="8">
        <f t="shared" si="6"/>
        <v>4195.9323177101996</v>
      </c>
      <c r="F27" s="7"/>
      <c r="G27" s="7">
        <v>1901.6</v>
      </c>
      <c r="H27" s="8">
        <v>750</v>
      </c>
      <c r="I27" s="8">
        <v>1149.5999999999999</v>
      </c>
      <c r="J27" s="8">
        <f>(80375.8*2204.622)/1000000</f>
        <v>177.19825694760002</v>
      </c>
      <c r="K27" s="8">
        <f t="shared" si="7"/>
        <v>2078.8353177101994</v>
      </c>
      <c r="L27" s="7">
        <v>2117.0970000000002</v>
      </c>
    </row>
    <row r="28" spans="1:13" ht="14.25" x14ac:dyDescent="0.2">
      <c r="A28" s="24" t="s">
        <v>46</v>
      </c>
      <c r="B28" s="7">
        <f t="shared" si="8"/>
        <v>2117.0970000000002</v>
      </c>
      <c r="C28" s="8">
        <v>2233.4859999999999</v>
      </c>
      <c r="D28" s="8">
        <f>(11454.4*2204.622)/1000000</f>
        <v>25.252622236799997</v>
      </c>
      <c r="E28" s="8">
        <f t="shared" si="6"/>
        <v>4375.8356222368002</v>
      </c>
      <c r="F28" s="7"/>
      <c r="G28" s="7">
        <v>2030</v>
      </c>
      <c r="H28" s="8">
        <v>811</v>
      </c>
      <c r="I28" s="8">
        <v>1199</v>
      </c>
      <c r="J28" s="8">
        <f>(106506.7*2204.622)/1000000</f>
        <v>234.8070139674</v>
      </c>
      <c r="K28" s="8">
        <f t="shared" si="7"/>
        <v>2265.0496222368001</v>
      </c>
      <c r="L28" s="7">
        <v>2110.7860000000001</v>
      </c>
    </row>
    <row r="29" spans="1:13" ht="14.25" x14ac:dyDescent="0.2">
      <c r="A29" s="24" t="s">
        <v>47</v>
      </c>
      <c r="B29" s="7">
        <f t="shared" si="8"/>
        <v>2110.7860000000001</v>
      </c>
      <c r="C29" s="8">
        <v>2308.752</v>
      </c>
      <c r="D29" s="8">
        <f>(8609.5*2204.622)/1000000</f>
        <v>18.980693108999997</v>
      </c>
      <c r="E29" s="8">
        <f t="shared" si="6"/>
        <v>4438.5186931090002</v>
      </c>
      <c r="F29" s="7"/>
      <c r="G29" s="7">
        <v>1804.7</v>
      </c>
      <c r="H29" s="8">
        <v>682.87599999999998</v>
      </c>
      <c r="I29" s="8">
        <v>1121.7</v>
      </c>
      <c r="J29" s="8">
        <f>(148706.1*2204.622)/1000000</f>
        <v>327.84073959419999</v>
      </c>
      <c r="K29" s="8">
        <f t="shared" si="7"/>
        <v>2132.5276931090002</v>
      </c>
      <c r="L29" s="7">
        <v>2305.991</v>
      </c>
    </row>
    <row r="30" spans="1:13" ht="14.25" x14ac:dyDescent="0.2">
      <c r="A30" s="24" t="s">
        <v>48</v>
      </c>
      <c r="B30" s="7">
        <f t="shared" si="8"/>
        <v>2305.991</v>
      </c>
      <c r="C30" s="8">
        <v>1924.749</v>
      </c>
      <c r="D30" s="8">
        <f>(9711.7*2204.622)/1000000</f>
        <v>21.410627477400002</v>
      </c>
      <c r="E30" s="8">
        <f t="shared" si="6"/>
        <v>4252.1506274774001</v>
      </c>
      <c r="F30" s="7"/>
      <c r="G30" s="7">
        <v>1690.2</v>
      </c>
      <c r="H30" s="8">
        <v>552.22799999999995</v>
      </c>
      <c r="I30" s="8">
        <v>1138.2</v>
      </c>
      <c r="J30" s="8">
        <f>(116113.6*2204.622)/1000000</f>
        <v>255.98659705919999</v>
      </c>
      <c r="K30" s="8">
        <f t="shared" si="7"/>
        <v>1946.1626274774003</v>
      </c>
      <c r="L30" s="7">
        <v>2305.9879999999998</v>
      </c>
    </row>
    <row r="31" spans="1:13" ht="14.25" x14ac:dyDescent="0.2">
      <c r="A31" s="24" t="s">
        <v>49</v>
      </c>
      <c r="B31" s="7">
        <f t="shared" si="8"/>
        <v>2305.9879999999998</v>
      </c>
      <c r="C31" s="8">
        <v>2222.123</v>
      </c>
      <c r="D31" s="8">
        <f>(9636.1*2204.622)/1000000</f>
        <v>21.2439580542</v>
      </c>
      <c r="E31" s="8">
        <f t="shared" si="6"/>
        <v>4549.3549580542003</v>
      </c>
      <c r="F31" s="7"/>
      <c r="G31" s="7">
        <v>2148.1999999999998</v>
      </c>
      <c r="H31" s="8">
        <v>740.35334330000001</v>
      </c>
      <c r="I31" s="8">
        <v>1408.2</v>
      </c>
      <c r="J31" s="8">
        <f>(70685.2*2204.622)/1000000</f>
        <v>155.83414699439999</v>
      </c>
      <c r="K31" s="8">
        <f t="shared" si="7"/>
        <v>2304.0769580542005</v>
      </c>
      <c r="L31" s="7">
        <v>2245.2779999999998</v>
      </c>
    </row>
    <row r="32" spans="1:13" ht="14.25" x14ac:dyDescent="0.2">
      <c r="A32" s="24" t="s">
        <v>50</v>
      </c>
      <c r="B32" s="7">
        <f t="shared" si="8"/>
        <v>2245.2779999999998</v>
      </c>
      <c r="C32" s="8">
        <v>1991.877</v>
      </c>
      <c r="D32" s="8">
        <f>(9275.9*2204.622)/1000000</f>
        <v>20.449853209799997</v>
      </c>
      <c r="E32" s="8">
        <f t="shared" si="6"/>
        <v>4257.6048532097993</v>
      </c>
      <c r="F32" s="7"/>
      <c r="G32" s="7">
        <v>1950.5</v>
      </c>
      <c r="H32" s="8">
        <v>699.93299999999999</v>
      </c>
      <c r="I32" s="8">
        <f>G32-H32</f>
        <v>1250.567</v>
      </c>
      <c r="J32" s="8">
        <f>(58789.4*2204.622)/1000000</f>
        <v>129.60840460679998</v>
      </c>
      <c r="K32" s="8">
        <f t="shared" si="7"/>
        <v>2080.0168532097991</v>
      </c>
      <c r="L32" s="7">
        <v>2177.5880000000002</v>
      </c>
    </row>
    <row r="33" spans="1:14" ht="14.25" x14ac:dyDescent="0.2">
      <c r="A33" s="24" t="s">
        <v>51</v>
      </c>
      <c r="B33" s="7">
        <f t="shared" ref="B33" si="9">L32</f>
        <v>2177.5880000000002</v>
      </c>
      <c r="C33" s="8">
        <v>2043.135</v>
      </c>
      <c r="D33" s="8">
        <f>(7517.3*2204.622)/1000000</f>
        <v>16.572804960599999</v>
      </c>
      <c r="E33" s="8">
        <f t="shared" ref="E33:E37" si="10">SUM(B33:D33)</f>
        <v>4237.2958049605995</v>
      </c>
      <c r="F33" s="7"/>
      <c r="G33" s="7">
        <f>K33-J33</f>
        <v>2019.0822001577997</v>
      </c>
      <c r="H33" s="8">
        <v>787.56200000000001</v>
      </c>
      <c r="I33" s="8">
        <f>G33-H33</f>
        <v>1231.5202001577995</v>
      </c>
      <c r="J33" s="8">
        <f>(32307.4*2204.622)/1000000</f>
        <v>71.225604802800007</v>
      </c>
      <c r="K33" s="8">
        <f>E33-L33</f>
        <v>2090.3078049605997</v>
      </c>
      <c r="L33" s="7">
        <v>2146.9879999999998</v>
      </c>
    </row>
    <row r="34" spans="1:14" ht="14.25" x14ac:dyDescent="0.2">
      <c r="A34" s="24" t="s">
        <v>52</v>
      </c>
      <c r="B34" s="7">
        <f>L33</f>
        <v>2146.9879999999998</v>
      </c>
      <c r="C34" s="8">
        <v>1908.6489999999999</v>
      </c>
      <c r="D34" s="8">
        <f>(11859.1*2204.622)/1000000</f>
        <v>26.144832760199996</v>
      </c>
      <c r="E34" s="8">
        <f t="shared" si="10"/>
        <v>4081.7818327601999</v>
      </c>
      <c r="F34" s="7"/>
      <c r="G34" s="7">
        <f>K34-J34</f>
        <v>1889.5260091224</v>
      </c>
      <c r="H34" s="8">
        <v>663.33</v>
      </c>
      <c r="I34" s="8">
        <f>G34-H34</f>
        <v>1226.1960091224</v>
      </c>
      <c r="J34" s="8">
        <f>(41549.9*2204.622)/1000000</f>
        <v>91.601823637799995</v>
      </c>
      <c r="K34" s="8">
        <f>E34-L34</f>
        <v>1981.1278327601999</v>
      </c>
      <c r="L34" s="7">
        <v>2100.654</v>
      </c>
    </row>
    <row r="35" spans="1:14" ht="14.25" x14ac:dyDescent="0.2">
      <c r="A35" s="24" t="s">
        <v>54</v>
      </c>
      <c r="B35" s="7">
        <f>L34</f>
        <v>2100.654</v>
      </c>
      <c r="C35" s="8">
        <v>1972.6880000000001</v>
      </c>
      <c r="D35" s="8">
        <f>(14714.2*2204.622)/1000000</f>
        <v>32.439249032399999</v>
      </c>
      <c r="E35" s="8">
        <f t="shared" si="10"/>
        <v>4105.7812490324004</v>
      </c>
      <c r="F35" s="7"/>
      <c r="G35" s="7">
        <f>K35-J35</f>
        <v>1999.9908670466004</v>
      </c>
      <c r="H35" s="8">
        <v>791.97900000000004</v>
      </c>
      <c r="I35" s="8">
        <f>G35-H35</f>
        <v>1208.0118670466004</v>
      </c>
      <c r="J35" s="8">
        <f>(16183.9*2204.622)/1000000</f>
        <v>35.679381985799999</v>
      </c>
      <c r="K35" s="8">
        <f>E35-L35</f>
        <v>2035.6702490324005</v>
      </c>
      <c r="L35" s="7">
        <v>2070.1109999999999</v>
      </c>
    </row>
    <row r="36" spans="1:14" ht="14.25" x14ac:dyDescent="0.2">
      <c r="A36" s="24" t="s">
        <v>55</v>
      </c>
      <c r="B36" s="7">
        <f>L35</f>
        <v>2070.1109999999999</v>
      </c>
      <c r="C36" s="8">
        <v>1989.7329999999999</v>
      </c>
      <c r="D36" s="8">
        <f>(19317.4*2204.622)/1000000</f>
        <v>42.5875650228</v>
      </c>
      <c r="E36" s="8">
        <f t="shared" si="10"/>
        <v>4102.4315650228</v>
      </c>
      <c r="F36" s="7"/>
      <c r="G36" s="7">
        <f>K36-J36</f>
        <v>1894.4255643878003</v>
      </c>
      <c r="H36" s="8">
        <v>814.73500000000001</v>
      </c>
      <c r="I36" s="8">
        <f>G36-H36</f>
        <v>1079.6905643878004</v>
      </c>
      <c r="J36" s="8">
        <f>(11142.5*2204.622)/1000000</f>
        <v>24.565000634999997</v>
      </c>
      <c r="K36" s="8">
        <f>E36-L36</f>
        <v>1918.9905650228002</v>
      </c>
      <c r="L36" s="7">
        <v>2183.4409999999998</v>
      </c>
    </row>
    <row r="37" spans="1:14" ht="14.25" x14ac:dyDescent="0.2">
      <c r="A37" s="24" t="s">
        <v>57</v>
      </c>
      <c r="B37" s="7">
        <f>L36</f>
        <v>2183.4409999999998</v>
      </c>
      <c r="C37" s="8">
        <v>1938.212</v>
      </c>
      <c r="D37" s="8">
        <f>(16009.4*2204.622)/1000000</f>
        <v>35.294675446799992</v>
      </c>
      <c r="E37" s="8">
        <f t="shared" si="10"/>
        <v>4156.9476754468005</v>
      </c>
      <c r="F37" s="7"/>
      <c r="G37" s="7">
        <f>K37-J37</f>
        <v>1946.2544927450006</v>
      </c>
      <c r="H37" s="8" t="s">
        <v>10</v>
      </c>
      <c r="I37" s="8" t="s">
        <v>10</v>
      </c>
      <c r="J37" s="8">
        <f>(15361.9*2204.622)/1000000</f>
        <v>33.867182701799997</v>
      </c>
      <c r="K37" s="8">
        <f>E37-L37</f>
        <v>1980.1216754468005</v>
      </c>
      <c r="L37" s="7">
        <v>2176.826</v>
      </c>
      <c r="N37" s="48"/>
    </row>
    <row r="38" spans="1:14" ht="14.25" x14ac:dyDescent="0.2">
      <c r="A38" s="18" t="s">
        <v>104</v>
      </c>
      <c r="B38" s="69"/>
      <c r="C38" s="50">
        <f>SUM(C26:C37)</f>
        <v>25022.667000000001</v>
      </c>
      <c r="D38" s="50">
        <f>SUM(D26:D37)</f>
        <v>301.9644297936</v>
      </c>
      <c r="E38" s="50">
        <f>B26+C38+D38</f>
        <v>27177.3064297936</v>
      </c>
      <c r="F38" s="69"/>
      <c r="G38" s="69">
        <f>SUM(G26:G37)</f>
        <v>23277.979133459598</v>
      </c>
      <c r="H38" s="50">
        <f>SUM(H26:H37)</f>
        <v>8083.9963433000003</v>
      </c>
      <c r="I38" s="50">
        <f>SUM(I26:I37)</f>
        <v>13221.185640714599</v>
      </c>
      <c r="J38" s="50">
        <f>SUM(J26:J37)</f>
        <v>1723.4983019897998</v>
      </c>
      <c r="K38" s="69">
        <f>SUM(K26:K37)</f>
        <v>25000.480429793599</v>
      </c>
      <c r="L38" s="69"/>
    </row>
    <row r="39" spans="1:14" ht="16.5" x14ac:dyDescent="0.2">
      <c r="A39" s="63" t="s">
        <v>196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4" ht="14.25" x14ac:dyDescent="0.2">
      <c r="A40" s="20" t="s">
        <v>81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4" ht="14.25" x14ac:dyDescent="0.2">
      <c r="A41" s="26" t="s">
        <v>18</v>
      </c>
      <c r="B41" s="52">
        <f ca="1">NOW()</f>
        <v>44510.570713194444</v>
      </c>
      <c r="K41" s="48"/>
    </row>
    <row r="42" spans="1:14" x14ac:dyDescent="0.2">
      <c r="E42" s="48"/>
    </row>
  </sheetData>
  <mergeCells count="3">
    <mergeCell ref="B5:L5"/>
    <mergeCell ref="G2:I2"/>
    <mergeCell ref="B2:E2"/>
  </mergeCells>
  <phoneticPr fontId="12" type="noConversion"/>
  <pageMargins left="0.75" right="0.75" top="1" bottom="1" header="0.5" footer="0.5"/>
  <pageSetup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54"/>
  <sheetViews>
    <sheetView showGridLines="0" zoomScale="70" zoomScaleNormal="70" workbookViewId="0"/>
  </sheetViews>
  <sheetFormatPr defaultColWidth="9.140625" defaultRowHeight="12.75" x14ac:dyDescent="0.2"/>
  <cols>
    <col min="1" max="1" width="14.7109375" style="19" customWidth="1"/>
    <col min="2" max="2" width="12.7109375" style="19" customWidth="1"/>
    <col min="3" max="3" width="12.140625" style="19" customWidth="1"/>
    <col min="4" max="4" width="13.42578125" style="19" customWidth="1"/>
    <col min="5" max="5" width="15.28515625" style="19" customWidth="1"/>
    <col min="6" max="6" width="10.5703125" style="19" customWidth="1"/>
    <col min="7" max="7" width="11.7109375" style="19" customWidth="1"/>
    <col min="8" max="8" width="8.7109375" style="19" customWidth="1"/>
    <col min="9" max="9" width="9.7109375" style="19" customWidth="1"/>
    <col min="10" max="11" width="7.7109375" style="19" customWidth="1"/>
    <col min="12" max="12" width="8.5703125" style="19" customWidth="1"/>
    <col min="13" max="13" width="9.5703125" style="19" customWidth="1"/>
    <col min="14" max="15" width="7.5703125" style="19" customWidth="1"/>
    <col min="16" max="18" width="9.140625" style="19"/>
    <col min="19" max="19" width="17.42578125" style="19" bestFit="1" customWidth="1"/>
    <col min="20" max="20" width="9.140625" style="19"/>
    <col min="21" max="21" width="28.28515625" style="19" bestFit="1" customWidth="1"/>
    <col min="22" max="16384" width="9.140625" style="19"/>
  </cols>
  <sheetData>
    <row r="1" spans="1:15" ht="14.25" x14ac:dyDescent="0.2">
      <c r="A1" s="18" t="s">
        <v>115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0"/>
      <c r="M1" s="20"/>
      <c r="N1" s="20"/>
      <c r="O1" s="20"/>
    </row>
    <row r="2" spans="1:15" ht="14.25" x14ac:dyDescent="0.2">
      <c r="A2" s="20"/>
      <c r="B2" s="164" t="s">
        <v>0</v>
      </c>
      <c r="C2" s="164"/>
      <c r="D2" s="164"/>
      <c r="E2" s="164"/>
      <c r="F2" s="105"/>
      <c r="G2" s="164" t="s">
        <v>17</v>
      </c>
      <c r="H2" s="164"/>
      <c r="I2" s="164"/>
      <c r="J2" s="164"/>
      <c r="K2" s="105"/>
      <c r="L2" s="20"/>
      <c r="M2" s="20"/>
      <c r="N2" s="20"/>
      <c r="O2" s="20"/>
    </row>
    <row r="3" spans="1:15" ht="14.25" x14ac:dyDescent="0.2">
      <c r="A3" s="20" t="s">
        <v>60</v>
      </c>
      <c r="B3" s="26" t="s">
        <v>28</v>
      </c>
      <c r="C3" s="26"/>
      <c r="D3" s="26"/>
      <c r="E3" s="26"/>
      <c r="F3" s="106"/>
      <c r="G3" s="26"/>
      <c r="H3" s="26"/>
      <c r="I3" s="26"/>
      <c r="J3" s="26"/>
      <c r="K3" s="22" t="s">
        <v>26</v>
      </c>
      <c r="L3" s="20"/>
      <c r="M3" s="20"/>
      <c r="N3" s="20"/>
      <c r="O3" s="20"/>
    </row>
    <row r="4" spans="1:15" ht="14.25" x14ac:dyDescent="0.2">
      <c r="A4" s="27" t="s">
        <v>62</v>
      </c>
      <c r="B4" s="29" t="s">
        <v>42</v>
      </c>
      <c r="C4" s="83" t="s">
        <v>1</v>
      </c>
      <c r="D4" s="31" t="s">
        <v>29</v>
      </c>
      <c r="E4" s="29" t="s">
        <v>69</v>
      </c>
      <c r="F4" s="30"/>
      <c r="G4" s="29" t="s">
        <v>32</v>
      </c>
      <c r="H4" s="29" t="s">
        <v>4</v>
      </c>
      <c r="I4" s="29" t="s">
        <v>33</v>
      </c>
      <c r="J4" s="29" t="s">
        <v>30</v>
      </c>
      <c r="K4" s="29" t="s">
        <v>25</v>
      </c>
      <c r="L4" s="20"/>
      <c r="M4" s="20"/>
      <c r="N4" s="20"/>
      <c r="O4" s="20"/>
    </row>
    <row r="5" spans="1:15" ht="14.25" x14ac:dyDescent="0.2">
      <c r="A5" s="20"/>
      <c r="B5" s="167" t="s">
        <v>14</v>
      </c>
      <c r="C5" s="167"/>
      <c r="D5" s="167"/>
      <c r="E5" s="167"/>
      <c r="F5" s="167"/>
      <c r="G5" s="167"/>
      <c r="H5" s="167"/>
      <c r="I5" s="167"/>
      <c r="J5" s="167"/>
      <c r="K5" s="167"/>
      <c r="L5" s="20"/>
      <c r="M5" s="20"/>
      <c r="N5" s="20"/>
      <c r="O5" s="20"/>
    </row>
    <row r="6" spans="1:15" ht="14.25" x14ac:dyDescent="0.2">
      <c r="A6" s="20" t="s">
        <v>100</v>
      </c>
      <c r="B6" s="107">
        <v>476.97603460691334</v>
      </c>
      <c r="C6" s="107">
        <v>5945</v>
      </c>
      <c r="D6" s="108">
        <v>1.0880000000000001</v>
      </c>
      <c r="E6" s="107">
        <v>6423.0879999999997</v>
      </c>
      <c r="F6" s="109"/>
      <c r="G6" s="107">
        <v>1712.0099999999998</v>
      </c>
      <c r="H6" s="110">
        <v>340.64748459156186</v>
      </c>
      <c r="I6" s="107">
        <v>3914.4029999999993</v>
      </c>
      <c r="J6" s="111">
        <f>E6-K6</f>
        <v>5967.0811380282848</v>
      </c>
      <c r="K6" s="107">
        <v>456.0068619717149</v>
      </c>
      <c r="L6" s="20"/>
      <c r="M6" s="20"/>
      <c r="N6" s="20"/>
      <c r="O6" s="20"/>
    </row>
    <row r="7" spans="1:15" ht="16.5" x14ac:dyDescent="0.2">
      <c r="A7" s="24" t="s">
        <v>101</v>
      </c>
      <c r="B7" s="111">
        <f>K6</f>
        <v>456.0068619717149</v>
      </c>
      <c r="C7" s="111">
        <v>4509</v>
      </c>
      <c r="D7" s="112">
        <v>1</v>
      </c>
      <c r="E7" s="111">
        <f>B7+C7+D7</f>
        <v>4966.0068619717149</v>
      </c>
      <c r="F7" s="113"/>
      <c r="G7" s="111">
        <v>1562.7429999999999</v>
      </c>
      <c r="H7" s="114">
        <v>282.68453874670092</v>
      </c>
      <c r="I7" s="111">
        <f>J7-G7-H7</f>
        <v>2762.0677753251334</v>
      </c>
      <c r="J7" s="111">
        <f>E7-K7</f>
        <v>4607.4953140718344</v>
      </c>
      <c r="K7" s="111">
        <v>358.5115478998805</v>
      </c>
      <c r="L7" s="20"/>
      <c r="M7" s="20"/>
      <c r="N7" s="20"/>
      <c r="O7" s="20"/>
    </row>
    <row r="8" spans="1:15" ht="16.5" x14ac:dyDescent="0.2">
      <c r="A8" s="18" t="s">
        <v>126</v>
      </c>
      <c r="B8" s="115">
        <f>K7</f>
        <v>358.5115478998805</v>
      </c>
      <c r="C8" s="115">
        <v>5549</v>
      </c>
      <c r="D8" s="116">
        <v>50</v>
      </c>
      <c r="E8" s="115">
        <f>B8+C8+D8</f>
        <v>5957.5115478998805</v>
      </c>
      <c r="F8" s="117"/>
      <c r="G8" s="115">
        <v>1775</v>
      </c>
      <c r="H8" s="118">
        <v>300</v>
      </c>
      <c r="I8" s="115">
        <v>3505.4</v>
      </c>
      <c r="J8" s="115">
        <f>E8-K8</f>
        <v>5580.4115478998801</v>
      </c>
      <c r="K8" s="115">
        <v>377.1</v>
      </c>
      <c r="L8" s="20"/>
      <c r="M8" s="20"/>
      <c r="N8" s="20"/>
      <c r="O8" s="20"/>
    </row>
    <row r="9" spans="1:15" ht="16.5" x14ac:dyDescent="0.2">
      <c r="A9" s="63" t="s">
        <v>82</v>
      </c>
      <c r="B9" s="20"/>
      <c r="C9" s="109"/>
      <c r="D9" s="109"/>
      <c r="E9" s="109"/>
      <c r="F9" s="109"/>
      <c r="G9" s="119"/>
      <c r="H9" s="109"/>
      <c r="I9" s="109"/>
      <c r="J9" s="109"/>
      <c r="K9" s="20"/>
      <c r="L9" s="20"/>
      <c r="M9" s="20"/>
      <c r="N9" s="20"/>
      <c r="O9" s="20"/>
    </row>
    <row r="10" spans="1:15" ht="14.25" x14ac:dyDescent="0.2">
      <c r="A10" s="20" t="s">
        <v>124</v>
      </c>
      <c r="B10" s="39"/>
      <c r="C10" s="46"/>
      <c r="D10" s="20"/>
      <c r="E10" s="39"/>
      <c r="F10" s="39"/>
      <c r="G10" s="39"/>
      <c r="H10" s="39"/>
      <c r="I10" s="39"/>
      <c r="J10" s="39"/>
      <c r="K10" s="20"/>
      <c r="L10" s="20"/>
      <c r="M10" s="20"/>
      <c r="N10" s="20"/>
      <c r="O10" s="20"/>
    </row>
    <row r="11" spans="1:15" ht="14.25" x14ac:dyDescent="0.2">
      <c r="A11" s="20" t="s">
        <v>102</v>
      </c>
      <c r="B11" s="39"/>
      <c r="C11" s="46"/>
      <c r="D11" s="20"/>
      <c r="E11" s="39"/>
      <c r="F11" s="39"/>
      <c r="G11" s="39"/>
      <c r="H11" s="39"/>
      <c r="I11" s="39"/>
      <c r="J11" s="39"/>
      <c r="K11" s="20"/>
      <c r="L11" s="20"/>
      <c r="M11" s="20"/>
      <c r="N11" s="20"/>
      <c r="O11" s="20"/>
    </row>
    <row r="12" spans="1:15" ht="14.25" x14ac:dyDescent="0.2">
      <c r="A12" s="20"/>
      <c r="B12" s="39"/>
      <c r="C12" s="46"/>
      <c r="D12" s="20"/>
      <c r="E12" s="39"/>
      <c r="F12" s="39"/>
      <c r="G12" s="39"/>
      <c r="H12" s="39"/>
      <c r="I12" s="39"/>
      <c r="J12" s="39"/>
      <c r="K12" s="20"/>
      <c r="L12" s="20"/>
      <c r="M12" s="20"/>
      <c r="N12" s="20"/>
      <c r="O12" s="20"/>
    </row>
    <row r="13" spans="1:15" ht="14.25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14.25" x14ac:dyDescent="0.2">
      <c r="A14" s="18" t="s">
        <v>116</v>
      </c>
      <c r="B14" s="18"/>
      <c r="C14" s="18"/>
      <c r="D14" s="18"/>
      <c r="E14" s="18"/>
      <c r="F14" s="18"/>
      <c r="G14" s="18"/>
      <c r="H14" s="18"/>
      <c r="I14" s="20"/>
      <c r="J14" s="18"/>
      <c r="K14" s="20"/>
      <c r="L14" s="20"/>
      <c r="M14" s="20"/>
      <c r="N14" s="20"/>
      <c r="O14" s="20"/>
    </row>
    <row r="15" spans="1:15" ht="14.25" x14ac:dyDescent="0.2">
      <c r="A15" s="20"/>
      <c r="B15" s="164" t="s">
        <v>0</v>
      </c>
      <c r="C15" s="164"/>
      <c r="D15" s="164"/>
      <c r="E15" s="164"/>
      <c r="F15" s="20"/>
      <c r="G15" s="164" t="s">
        <v>17</v>
      </c>
      <c r="H15" s="164"/>
      <c r="I15" s="164"/>
      <c r="J15" s="20"/>
      <c r="K15" s="20"/>
      <c r="L15" s="20"/>
      <c r="M15" s="20"/>
      <c r="N15" s="20"/>
      <c r="O15" s="20"/>
    </row>
    <row r="16" spans="1:15" ht="14.25" x14ac:dyDescent="0.2">
      <c r="A16" s="20" t="s">
        <v>60</v>
      </c>
      <c r="B16" s="22" t="s">
        <v>28</v>
      </c>
      <c r="C16" s="26"/>
      <c r="D16" s="26"/>
      <c r="E16" s="26"/>
      <c r="F16" s="26"/>
      <c r="G16" s="26"/>
      <c r="H16" s="26"/>
      <c r="I16" s="26"/>
      <c r="J16" s="22" t="s">
        <v>26</v>
      </c>
      <c r="K16" s="20"/>
      <c r="L16" s="20"/>
      <c r="M16" s="20"/>
      <c r="N16" s="20"/>
      <c r="O16" s="20"/>
    </row>
    <row r="17" spans="1:15" ht="14.25" x14ac:dyDescent="0.2">
      <c r="A17" s="27" t="s">
        <v>61</v>
      </c>
      <c r="B17" s="29" t="s">
        <v>25</v>
      </c>
      <c r="C17" s="83" t="s">
        <v>1</v>
      </c>
      <c r="D17" s="31" t="s">
        <v>29</v>
      </c>
      <c r="E17" s="29" t="s">
        <v>30</v>
      </c>
      <c r="F17" s="30"/>
      <c r="G17" s="111" t="s">
        <v>9</v>
      </c>
      <c r="H17" s="29" t="s">
        <v>4</v>
      </c>
      <c r="I17" s="31" t="s">
        <v>24</v>
      </c>
      <c r="J17" s="29" t="s">
        <v>25</v>
      </c>
      <c r="K17" s="20"/>
      <c r="L17" s="20"/>
      <c r="M17" s="20"/>
      <c r="N17" s="20"/>
      <c r="O17" s="20"/>
    </row>
    <row r="18" spans="1:15" ht="14.25" x14ac:dyDescent="0.2">
      <c r="A18" s="20"/>
      <c r="B18" s="167" t="s">
        <v>15</v>
      </c>
      <c r="C18" s="167"/>
      <c r="D18" s="167"/>
      <c r="E18" s="167"/>
      <c r="F18" s="167"/>
      <c r="G18" s="167"/>
      <c r="H18" s="167"/>
      <c r="I18" s="167"/>
      <c r="J18" s="167"/>
      <c r="K18" s="20"/>
      <c r="L18" s="20"/>
      <c r="M18" s="20"/>
      <c r="N18" s="20"/>
      <c r="O18" s="20"/>
    </row>
    <row r="19" spans="1:15" ht="14.25" x14ac:dyDescent="0.2">
      <c r="A19" s="20" t="s">
        <v>100</v>
      </c>
      <c r="B19" s="107">
        <v>43</v>
      </c>
      <c r="C19" s="110">
        <v>779.976</v>
      </c>
      <c r="D19" s="108">
        <v>0</v>
      </c>
      <c r="E19" s="110">
        <v>822.976</v>
      </c>
      <c r="F19" s="20"/>
      <c r="G19" s="110">
        <v>688.44474810762813</v>
      </c>
      <c r="H19" s="110">
        <v>109.65925189237197</v>
      </c>
      <c r="I19" s="114">
        <f>SUM(G19:H19)</f>
        <v>798.10400000000004</v>
      </c>
      <c r="J19" s="107">
        <v>24.872</v>
      </c>
      <c r="K19" s="20"/>
      <c r="L19" s="20"/>
      <c r="M19" s="20"/>
      <c r="N19" s="20"/>
      <c r="O19" s="20"/>
    </row>
    <row r="20" spans="1:15" ht="16.5" x14ac:dyDescent="0.2">
      <c r="A20" s="24" t="s">
        <v>101</v>
      </c>
      <c r="B20" s="111">
        <f>J19</f>
        <v>24.872</v>
      </c>
      <c r="C20" s="114">
        <v>648.57100000000003</v>
      </c>
      <c r="D20" s="112">
        <v>0</v>
      </c>
      <c r="E20" s="114">
        <f>B20+C20+D20</f>
        <v>673.44299999999998</v>
      </c>
      <c r="F20" s="113"/>
      <c r="G20" s="114">
        <v>573.37749036166895</v>
      </c>
      <c r="H20" s="114">
        <v>60.759509638330982</v>
      </c>
      <c r="I20" s="114">
        <f>SUM(G20:H20)</f>
        <v>634.13699999999994</v>
      </c>
      <c r="J20" s="111">
        <v>39.305999999999997</v>
      </c>
      <c r="K20" s="20"/>
      <c r="L20" s="20"/>
      <c r="M20" s="20"/>
      <c r="N20" s="20"/>
      <c r="O20" s="20"/>
    </row>
    <row r="21" spans="1:15" ht="16.5" x14ac:dyDescent="0.2">
      <c r="A21" s="18" t="s">
        <v>126</v>
      </c>
      <c r="B21" s="115">
        <f>J20</f>
        <v>39.305999999999997</v>
      </c>
      <c r="C21" s="118">
        <v>800</v>
      </c>
      <c r="D21" s="116">
        <v>0</v>
      </c>
      <c r="E21" s="118">
        <f>B21+C21+D21</f>
        <v>839.30600000000004</v>
      </c>
      <c r="F21" s="117"/>
      <c r="G21" s="118">
        <v>739.30600000000004</v>
      </c>
      <c r="H21" s="118">
        <v>75</v>
      </c>
      <c r="I21" s="118">
        <f>SUM(G21:H21)</f>
        <v>814.30600000000004</v>
      </c>
      <c r="J21" s="115">
        <v>25</v>
      </c>
      <c r="K21" s="20"/>
      <c r="L21" s="20"/>
      <c r="M21" s="20"/>
      <c r="N21" s="20"/>
      <c r="O21" s="20"/>
    </row>
    <row r="22" spans="1:15" ht="16.5" x14ac:dyDescent="0.2">
      <c r="A22" s="63" t="s">
        <v>82</v>
      </c>
      <c r="B22" s="20"/>
      <c r="C22" s="109"/>
      <c r="D22" s="109"/>
      <c r="E22" s="109"/>
      <c r="F22" s="109"/>
      <c r="G22" s="109"/>
      <c r="H22" s="109"/>
      <c r="I22" s="20"/>
      <c r="J22" s="20"/>
      <c r="K22" s="20"/>
      <c r="L22" s="20"/>
      <c r="M22" s="20"/>
      <c r="N22" s="20"/>
      <c r="O22" s="20"/>
    </row>
    <row r="23" spans="1:15" ht="14.25" x14ac:dyDescent="0.2">
      <c r="A23" s="20" t="s">
        <v>131</v>
      </c>
      <c r="B23" s="113"/>
      <c r="C23" s="113"/>
      <c r="D23" s="113"/>
      <c r="E23" s="113"/>
      <c r="F23" s="113"/>
      <c r="G23" s="113"/>
      <c r="H23" s="113"/>
      <c r="I23" s="20"/>
      <c r="J23" s="20"/>
      <c r="K23" s="20"/>
      <c r="L23" s="20"/>
      <c r="M23" s="20"/>
      <c r="N23" s="20"/>
      <c r="O23" s="20"/>
    </row>
    <row r="24" spans="1:15" ht="14.25" x14ac:dyDescent="0.2">
      <c r="A24" s="24"/>
      <c r="B24" s="39"/>
      <c r="C24" s="39"/>
      <c r="D24" s="39"/>
      <c r="E24" s="39"/>
      <c r="F24" s="39"/>
      <c r="G24" s="39"/>
      <c r="H24" s="39"/>
      <c r="I24" s="20"/>
      <c r="J24" s="20"/>
      <c r="K24" s="20"/>
      <c r="L24" s="20"/>
      <c r="M24" s="20"/>
      <c r="N24" s="20"/>
      <c r="O24" s="20"/>
    </row>
    <row r="25" spans="1:15" ht="14.25" x14ac:dyDescent="0.2">
      <c r="A25" s="24"/>
      <c r="B25" s="39"/>
      <c r="C25" s="46"/>
      <c r="D25" s="39"/>
      <c r="E25" s="39"/>
      <c r="F25" s="39"/>
      <c r="G25" s="39"/>
      <c r="H25" s="39"/>
      <c r="I25" s="20"/>
      <c r="J25" s="20"/>
      <c r="K25" s="20"/>
      <c r="L25" s="20"/>
      <c r="M25" s="20"/>
      <c r="N25" s="20"/>
      <c r="O25" s="20"/>
    </row>
    <row r="26" spans="1:15" ht="14.25" x14ac:dyDescent="0.2">
      <c r="A26" s="18" t="s">
        <v>117</v>
      </c>
      <c r="B26" s="18"/>
      <c r="C26" s="18"/>
      <c r="D26" s="18"/>
      <c r="E26" s="18"/>
      <c r="F26" s="18"/>
      <c r="G26" s="18"/>
      <c r="H26" s="18"/>
      <c r="I26" s="20"/>
      <c r="J26" s="18"/>
      <c r="K26" s="20"/>
      <c r="L26" s="20"/>
      <c r="M26" s="20"/>
      <c r="N26" s="20"/>
      <c r="O26" s="20"/>
    </row>
    <row r="27" spans="1:15" ht="14.25" x14ac:dyDescent="0.2">
      <c r="A27" s="20"/>
      <c r="B27" s="164" t="s">
        <v>0</v>
      </c>
      <c r="C27" s="164"/>
      <c r="D27" s="164"/>
      <c r="E27" s="164"/>
      <c r="F27" s="20"/>
      <c r="G27" s="164" t="s">
        <v>17</v>
      </c>
      <c r="H27" s="164"/>
      <c r="I27" s="164"/>
      <c r="J27" s="20"/>
      <c r="K27" s="20"/>
      <c r="L27" s="20"/>
      <c r="M27" s="20"/>
      <c r="N27" s="20"/>
      <c r="O27" s="20"/>
    </row>
    <row r="28" spans="1:15" ht="14.25" x14ac:dyDescent="0.2">
      <c r="A28" s="20" t="s">
        <v>60</v>
      </c>
      <c r="B28" s="22" t="s">
        <v>28</v>
      </c>
      <c r="C28" s="26"/>
      <c r="D28" s="26"/>
      <c r="E28" s="26"/>
      <c r="F28" s="26"/>
      <c r="G28" s="26"/>
      <c r="H28" s="26"/>
      <c r="I28" s="26"/>
      <c r="J28" s="22" t="s">
        <v>26</v>
      </c>
      <c r="K28" s="20"/>
      <c r="L28" s="20"/>
      <c r="M28" s="20"/>
      <c r="N28" s="20"/>
      <c r="O28" s="20"/>
    </row>
    <row r="29" spans="1:15" ht="14.25" x14ac:dyDescent="0.2">
      <c r="A29" s="27" t="s">
        <v>61</v>
      </c>
      <c r="B29" s="29" t="s">
        <v>25</v>
      </c>
      <c r="C29" s="29" t="s">
        <v>1</v>
      </c>
      <c r="D29" s="31" t="s">
        <v>29</v>
      </c>
      <c r="E29" s="29" t="s">
        <v>30</v>
      </c>
      <c r="F29" s="30"/>
      <c r="G29" s="29" t="s">
        <v>27</v>
      </c>
      <c r="H29" s="29" t="s">
        <v>4</v>
      </c>
      <c r="I29" s="29" t="s">
        <v>24</v>
      </c>
      <c r="J29" s="29" t="s">
        <v>70</v>
      </c>
      <c r="K29" s="20"/>
      <c r="L29" s="20"/>
      <c r="M29" s="20"/>
      <c r="N29" s="20"/>
      <c r="O29" s="20"/>
    </row>
    <row r="30" spans="1:15" ht="14.25" x14ac:dyDescent="0.2">
      <c r="A30" s="20"/>
      <c r="B30" s="167" t="s">
        <v>127</v>
      </c>
      <c r="C30" s="167"/>
      <c r="D30" s="167"/>
      <c r="E30" s="167"/>
      <c r="F30" s="167"/>
      <c r="G30" s="167"/>
      <c r="H30" s="167"/>
      <c r="I30" s="167"/>
      <c r="J30" s="167"/>
      <c r="K30" s="20"/>
      <c r="L30" s="20"/>
      <c r="M30" s="20"/>
      <c r="N30" s="20"/>
      <c r="O30" s="20"/>
    </row>
    <row r="31" spans="1:15" ht="14.25" x14ac:dyDescent="0.2">
      <c r="A31" s="20" t="s">
        <v>100</v>
      </c>
      <c r="B31" s="108">
        <v>35.040999999999997</v>
      </c>
      <c r="C31" s="110">
        <v>481.34800000000001</v>
      </c>
      <c r="D31" s="108">
        <v>0.26666000000000001</v>
      </c>
      <c r="E31" s="120">
        <f>B31+C31+D31</f>
        <v>516.65566000000001</v>
      </c>
      <c r="F31" s="20"/>
      <c r="G31" s="114">
        <f>I31-H31</f>
        <v>388.20178644136797</v>
      </c>
      <c r="H31" s="110">
        <v>83.915873558632001</v>
      </c>
      <c r="I31" s="114">
        <f>E31-J31</f>
        <v>472.11766</v>
      </c>
      <c r="J31" s="114">
        <v>44.537999999999997</v>
      </c>
      <c r="K31" s="20"/>
      <c r="L31" s="20"/>
      <c r="M31" s="20"/>
      <c r="N31" s="20"/>
      <c r="O31" s="20"/>
    </row>
    <row r="32" spans="1:15" ht="16.5" x14ac:dyDescent="0.2">
      <c r="A32" s="24" t="s">
        <v>101</v>
      </c>
      <c r="B32" s="112">
        <f>J31</f>
        <v>44.537999999999997</v>
      </c>
      <c r="C32" s="114">
        <v>399.91800000000001</v>
      </c>
      <c r="D32" s="112">
        <v>21.365218272682</v>
      </c>
      <c r="E32" s="120">
        <f>B32+C32+D32</f>
        <v>465.82121827268202</v>
      </c>
      <c r="F32" s="113"/>
      <c r="G32" s="114">
        <f>I32-H32</f>
        <v>355.51274692573605</v>
      </c>
      <c r="H32" s="114">
        <v>62.100471346945994</v>
      </c>
      <c r="I32" s="114">
        <f>E32-J32</f>
        <v>417.61321827268205</v>
      </c>
      <c r="J32" s="114">
        <v>48.207999999999998</v>
      </c>
      <c r="K32" s="20"/>
      <c r="L32" s="20"/>
      <c r="M32" s="20"/>
      <c r="N32" s="20"/>
      <c r="O32" s="20"/>
    </row>
    <row r="33" spans="1:15" ht="16.5" x14ac:dyDescent="0.2">
      <c r="A33" s="18" t="s">
        <v>126</v>
      </c>
      <c r="B33" s="116">
        <f>J32</f>
        <v>48.207999999999998</v>
      </c>
      <c r="C33" s="118">
        <v>495</v>
      </c>
      <c r="D33" s="116">
        <v>5</v>
      </c>
      <c r="E33" s="121">
        <f>B33+C33+D33</f>
        <v>548.20799999999997</v>
      </c>
      <c r="F33" s="117"/>
      <c r="G33" s="118">
        <f>I33-H33</f>
        <v>437.20799999999997</v>
      </c>
      <c r="H33" s="118">
        <v>66</v>
      </c>
      <c r="I33" s="118">
        <f>E33-J33</f>
        <v>503.20799999999997</v>
      </c>
      <c r="J33" s="118">
        <v>45</v>
      </c>
      <c r="K33" s="20"/>
      <c r="L33" s="20"/>
      <c r="M33" s="20"/>
      <c r="N33" s="20"/>
      <c r="O33" s="20"/>
    </row>
    <row r="34" spans="1:15" ht="16.5" x14ac:dyDescent="0.2">
      <c r="A34" s="63" t="s">
        <v>82</v>
      </c>
      <c r="B34" s="20"/>
      <c r="C34" s="109"/>
      <c r="D34" s="109"/>
      <c r="E34" s="109"/>
      <c r="F34" s="109"/>
      <c r="G34" s="109"/>
      <c r="H34" s="109"/>
      <c r="I34" s="20"/>
      <c r="J34" s="20"/>
      <c r="K34" s="20"/>
      <c r="L34" s="20"/>
      <c r="M34" s="20"/>
      <c r="N34" s="20"/>
      <c r="O34" s="20"/>
    </row>
    <row r="35" spans="1:15" ht="14.25" x14ac:dyDescent="0.2">
      <c r="A35" s="20" t="s">
        <v>131</v>
      </c>
      <c r="B35" s="39"/>
      <c r="C35" s="46"/>
      <c r="D35" s="39"/>
      <c r="E35" s="39"/>
      <c r="F35" s="39"/>
      <c r="G35" s="39"/>
      <c r="H35" s="39"/>
      <c r="I35" s="20"/>
      <c r="J35" s="20"/>
      <c r="K35" s="20"/>
      <c r="L35" s="20"/>
      <c r="M35" s="20"/>
      <c r="N35" s="20"/>
      <c r="O35" s="20"/>
    </row>
    <row r="36" spans="1:15" ht="14.25" x14ac:dyDescent="0.2">
      <c r="A36" s="24"/>
      <c r="B36" s="24"/>
      <c r="C36" s="24"/>
      <c r="D36" s="24"/>
      <c r="E36" s="24"/>
      <c r="F36" s="24"/>
      <c r="G36" s="24"/>
      <c r="H36" s="24"/>
      <c r="I36" s="20"/>
      <c r="J36" s="20"/>
      <c r="K36" s="20"/>
      <c r="L36" s="20"/>
      <c r="M36" s="20"/>
      <c r="N36" s="20"/>
      <c r="O36" s="20"/>
    </row>
    <row r="37" spans="1:15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ht="14.25" x14ac:dyDescent="0.2">
      <c r="A38" s="18" t="s">
        <v>118</v>
      </c>
      <c r="B38" s="18"/>
      <c r="C38" s="18"/>
      <c r="D38" s="18"/>
      <c r="E38" s="18"/>
      <c r="F38" s="18"/>
      <c r="G38" s="18"/>
      <c r="H38" s="18"/>
      <c r="I38" s="18"/>
      <c r="J38" s="20"/>
      <c r="K38" s="20"/>
      <c r="L38" s="20"/>
      <c r="M38" s="20"/>
      <c r="N38" s="20"/>
      <c r="O38" s="20"/>
    </row>
    <row r="39" spans="1:15" ht="14.25" x14ac:dyDescent="0.2">
      <c r="A39" s="20"/>
      <c r="B39" s="164" t="s">
        <v>19</v>
      </c>
      <c r="C39" s="164"/>
      <c r="D39" s="22" t="s">
        <v>22</v>
      </c>
      <c r="E39" s="164" t="s">
        <v>66</v>
      </c>
      <c r="F39" s="164"/>
      <c r="G39" s="164"/>
      <c r="H39" s="164"/>
      <c r="I39" s="20"/>
      <c r="J39" s="164" t="s">
        <v>17</v>
      </c>
      <c r="K39" s="164"/>
      <c r="L39" s="164"/>
      <c r="M39" s="164"/>
      <c r="N39" s="164"/>
      <c r="O39" s="105"/>
    </row>
    <row r="40" spans="1:15" ht="14.25" x14ac:dyDescent="0.2">
      <c r="A40" s="20" t="s">
        <v>60</v>
      </c>
      <c r="B40" s="22" t="s">
        <v>20</v>
      </c>
      <c r="C40" s="22" t="s">
        <v>21</v>
      </c>
      <c r="D40" s="20"/>
      <c r="E40" s="22" t="s">
        <v>28</v>
      </c>
      <c r="F40" s="22"/>
      <c r="G40" s="22"/>
      <c r="H40" s="22"/>
      <c r="I40" s="20"/>
      <c r="J40" s="122" t="s">
        <v>9</v>
      </c>
      <c r="K40" s="22"/>
      <c r="L40" s="22" t="s">
        <v>72</v>
      </c>
      <c r="M40" s="22"/>
      <c r="N40" s="22"/>
      <c r="O40" s="22" t="s">
        <v>26</v>
      </c>
    </row>
    <row r="41" spans="1:15" ht="14.25" x14ac:dyDescent="0.2">
      <c r="A41" s="27" t="s">
        <v>62</v>
      </c>
      <c r="B41" s="28"/>
      <c r="C41" s="28"/>
      <c r="D41" s="28"/>
      <c r="E41" s="29" t="s">
        <v>25</v>
      </c>
      <c r="F41" s="29" t="s">
        <v>1</v>
      </c>
      <c r="G41" s="29" t="s">
        <v>29</v>
      </c>
      <c r="H41" s="29" t="s">
        <v>30</v>
      </c>
      <c r="I41" s="29"/>
      <c r="J41" s="29" t="s">
        <v>34</v>
      </c>
      <c r="K41" s="29" t="s">
        <v>32</v>
      </c>
      <c r="L41" s="29" t="s">
        <v>5</v>
      </c>
      <c r="M41" s="31" t="s">
        <v>4</v>
      </c>
      <c r="N41" s="29" t="s">
        <v>24</v>
      </c>
      <c r="O41" s="29" t="s">
        <v>70</v>
      </c>
    </row>
    <row r="42" spans="1:15" ht="14.25" x14ac:dyDescent="0.2">
      <c r="A42" s="20"/>
      <c r="B42" s="168" t="s">
        <v>68</v>
      </c>
      <c r="C42" s="169"/>
      <c r="D42" s="123" t="s">
        <v>59</v>
      </c>
      <c r="E42" s="170" t="s">
        <v>16</v>
      </c>
      <c r="F42" s="167"/>
      <c r="G42" s="167"/>
      <c r="H42" s="167"/>
      <c r="I42" s="167"/>
      <c r="J42" s="167"/>
      <c r="K42" s="167"/>
      <c r="L42" s="167"/>
      <c r="M42" s="167"/>
      <c r="N42" s="167"/>
      <c r="O42" s="169"/>
    </row>
    <row r="43" spans="1:15" ht="14.25" x14ac:dyDescent="0.2">
      <c r="A43" s="20"/>
      <c r="B43" s="22"/>
      <c r="C43" s="22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ht="14.25" x14ac:dyDescent="0.2">
      <c r="A44" s="20" t="s">
        <v>100</v>
      </c>
      <c r="B44" s="107">
        <v>1432.7</v>
      </c>
      <c r="C44" s="107">
        <v>1389.7</v>
      </c>
      <c r="D44" s="111">
        <f>F44*1000/C44</f>
        <v>3933.5734331150607</v>
      </c>
      <c r="E44" s="107">
        <v>2421.09</v>
      </c>
      <c r="F44" s="107">
        <v>5466.4870000000001</v>
      </c>
      <c r="G44" s="114">
        <v>113.82652333129602</v>
      </c>
      <c r="H44" s="111">
        <f>SUM(E44:G44)</f>
        <v>8001.4035233312961</v>
      </c>
      <c r="I44" s="107"/>
      <c r="J44" s="107">
        <v>3221.4</v>
      </c>
      <c r="K44" s="107">
        <v>774.15131240000005</v>
      </c>
      <c r="L44" s="114">
        <f>N44-J44-K44-M44</f>
        <v>277.31027254689639</v>
      </c>
      <c r="M44" s="110">
        <v>1610.288415053104</v>
      </c>
      <c r="N44" s="107">
        <v>5883.1500000000005</v>
      </c>
      <c r="O44" s="107">
        <v>2118.1880000000001</v>
      </c>
    </row>
    <row r="45" spans="1:15" ht="16.5" x14ac:dyDescent="0.2">
      <c r="A45" s="24" t="s">
        <v>101</v>
      </c>
      <c r="B45" s="111">
        <v>1662.5</v>
      </c>
      <c r="C45" s="111">
        <v>1615.2</v>
      </c>
      <c r="D45" s="111">
        <f>F45*1000/C45</f>
        <v>3812.7476473501733</v>
      </c>
      <c r="E45" s="111">
        <f>O44</f>
        <v>2118.1880000000001</v>
      </c>
      <c r="F45" s="111">
        <v>6158.35</v>
      </c>
      <c r="G45" s="114">
        <v>121.04780464882167</v>
      </c>
      <c r="H45" s="111">
        <f>SUM(E45:G45)</f>
        <v>8397.5858046488229</v>
      </c>
      <c r="I45" s="111"/>
      <c r="J45" s="111">
        <v>3357.2</v>
      </c>
      <c r="K45" s="111">
        <v>872.91017669999985</v>
      </c>
      <c r="L45" s="114">
        <f>N45-J45-K45-M45</f>
        <v>782.56198954251931</v>
      </c>
      <c r="M45" s="114">
        <v>1416.7516384063038</v>
      </c>
      <c r="N45" s="111">
        <f>H45-O45</f>
        <v>6429.4238046488226</v>
      </c>
      <c r="O45" s="111">
        <v>1968.162</v>
      </c>
    </row>
    <row r="46" spans="1:15" ht="16.5" x14ac:dyDescent="0.2">
      <c r="A46" s="18" t="s">
        <v>126</v>
      </c>
      <c r="B46" s="115">
        <v>1580</v>
      </c>
      <c r="C46" s="115">
        <v>1533</v>
      </c>
      <c r="D46" s="115">
        <f>F46*1000/C46</f>
        <v>4072.0808871493805</v>
      </c>
      <c r="E46" s="115">
        <f>O45</f>
        <v>1968.162</v>
      </c>
      <c r="F46" s="115">
        <v>6242.5</v>
      </c>
      <c r="G46" s="118">
        <v>115</v>
      </c>
      <c r="H46" s="115">
        <f>SUM(E46:G46)</f>
        <v>8325.6620000000003</v>
      </c>
      <c r="I46" s="115"/>
      <c r="J46" s="115">
        <v>3459.4934971207999</v>
      </c>
      <c r="K46" s="115">
        <v>875</v>
      </c>
      <c r="L46" s="118">
        <f>N46-J46-K46-M46</f>
        <v>643.00000000000045</v>
      </c>
      <c r="M46" s="118">
        <v>1400</v>
      </c>
      <c r="N46" s="115">
        <f>H46-O46</f>
        <v>6377.4934971208004</v>
      </c>
      <c r="O46" s="115">
        <v>1948.1685028791999</v>
      </c>
    </row>
    <row r="47" spans="1:15" ht="16.5" x14ac:dyDescent="0.2">
      <c r="A47" s="63" t="s">
        <v>82</v>
      </c>
      <c r="B47" s="20"/>
      <c r="C47" s="109"/>
      <c r="D47" s="109"/>
      <c r="E47" s="109"/>
      <c r="F47" s="109"/>
      <c r="G47" s="109"/>
      <c r="H47" s="109"/>
      <c r="I47" s="20"/>
      <c r="J47" s="20"/>
      <c r="K47" s="20"/>
      <c r="L47" s="20"/>
      <c r="M47" s="20"/>
      <c r="N47" s="20"/>
      <c r="O47" s="20"/>
    </row>
    <row r="48" spans="1:15" ht="14.25" x14ac:dyDescent="0.2">
      <c r="A48" s="20" t="s">
        <v>125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4.25" x14ac:dyDescent="0.2">
      <c r="A49" s="20" t="s">
        <v>102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ht="14.25" x14ac:dyDescent="0.2">
      <c r="A50" s="26" t="s">
        <v>18</v>
      </c>
      <c r="B50" s="124">
        <f ca="1">NOW()</f>
        <v>44510.570713194444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44.45" customHeight="1" x14ac:dyDescent="0.2">
      <c r="A51" s="125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</row>
    <row r="52" spans="1:15" ht="15.75" x14ac:dyDescent="0.25">
      <c r="G52" s="89"/>
      <c r="H52" s="89"/>
    </row>
    <row r="53" spans="1:15" ht="15.75" x14ac:dyDescent="0.25">
      <c r="G53" s="89"/>
      <c r="H53" s="89"/>
    </row>
    <row r="54" spans="1:15" ht="15.75" x14ac:dyDescent="0.25">
      <c r="G54" s="89"/>
      <c r="H54" s="89"/>
    </row>
  </sheetData>
  <mergeCells count="14">
    <mergeCell ref="B39:C39"/>
    <mergeCell ref="B42:C42"/>
    <mergeCell ref="B18:J18"/>
    <mergeCell ref="E39:H39"/>
    <mergeCell ref="B30:J30"/>
    <mergeCell ref="E42:O42"/>
    <mergeCell ref="J39:N39"/>
    <mergeCell ref="G2:J2"/>
    <mergeCell ref="G15:I15"/>
    <mergeCell ref="B15:E15"/>
    <mergeCell ref="B2:E2"/>
    <mergeCell ref="B27:E27"/>
    <mergeCell ref="G27:I27"/>
    <mergeCell ref="B5:K5"/>
  </mergeCells>
  <phoneticPr fontId="12" type="noConversion"/>
  <pageMargins left="0.75" right="0.75" top="1" bottom="1" header="0.5" footer="0.5"/>
  <pageSetup scale="60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H37"/>
  <sheetViews>
    <sheetView showGridLines="0" zoomScale="70" zoomScaleNormal="70" workbookViewId="0"/>
  </sheetViews>
  <sheetFormatPr defaultColWidth="9.140625" defaultRowHeight="12.75" x14ac:dyDescent="0.2"/>
  <cols>
    <col min="1" max="1" width="11.7109375" style="19" customWidth="1"/>
    <col min="2" max="2" width="18.85546875" style="19" bestFit="1" customWidth="1"/>
    <col min="3" max="3" width="22.140625" style="19" bestFit="1" customWidth="1"/>
    <col min="4" max="5" width="25.7109375" style="19" bestFit="1" customWidth="1"/>
    <col min="6" max="6" width="16.7109375" style="19" bestFit="1" customWidth="1"/>
    <col min="7" max="7" width="18.85546875" style="19" bestFit="1" customWidth="1"/>
    <col min="8" max="16384" width="9.140625" style="19"/>
  </cols>
  <sheetData>
    <row r="1" spans="1:8" ht="15.6" customHeight="1" x14ac:dyDescent="0.2">
      <c r="A1" s="18" t="s">
        <v>119</v>
      </c>
      <c r="B1" s="18"/>
      <c r="C1" s="18"/>
      <c r="D1" s="18"/>
      <c r="E1" s="18"/>
      <c r="F1" s="18"/>
      <c r="G1" s="18"/>
      <c r="H1" s="64"/>
    </row>
    <row r="2" spans="1:8" ht="15.6" customHeight="1" x14ac:dyDescent="0.2">
      <c r="A2" s="24" t="s">
        <v>11</v>
      </c>
      <c r="B2" s="41" t="s">
        <v>83</v>
      </c>
      <c r="C2" s="41" t="s">
        <v>84</v>
      </c>
      <c r="D2" s="41" t="s">
        <v>85</v>
      </c>
      <c r="E2" s="41" t="s">
        <v>86</v>
      </c>
      <c r="F2" s="41" t="s">
        <v>87</v>
      </c>
      <c r="G2" s="41" t="s">
        <v>88</v>
      </c>
      <c r="H2" s="64"/>
    </row>
    <row r="3" spans="1:8" ht="15.6" customHeight="1" x14ac:dyDescent="0.2">
      <c r="A3" s="18" t="s">
        <v>12</v>
      </c>
      <c r="B3" s="30"/>
      <c r="C3" s="70"/>
      <c r="D3" s="70"/>
      <c r="E3" s="70"/>
      <c r="F3" s="70"/>
      <c r="G3" s="70"/>
      <c r="H3" s="64"/>
    </row>
    <row r="4" spans="1:8" ht="14.25" x14ac:dyDescent="0.2">
      <c r="A4" s="71"/>
      <c r="B4" s="72" t="s">
        <v>107</v>
      </c>
      <c r="C4" s="72" t="s">
        <v>108</v>
      </c>
      <c r="D4" s="72" t="s">
        <v>110</v>
      </c>
      <c r="E4" s="72" t="s">
        <v>110</v>
      </c>
      <c r="F4" s="72" t="s">
        <v>109</v>
      </c>
      <c r="G4" s="72" t="s">
        <v>107</v>
      </c>
      <c r="H4" s="64"/>
    </row>
    <row r="5" spans="1:8" ht="14.25" x14ac:dyDescent="0.2">
      <c r="A5" s="20"/>
      <c r="B5" s="20"/>
      <c r="C5" s="20"/>
      <c r="D5" s="22"/>
      <c r="E5" s="20"/>
      <c r="F5" s="20"/>
      <c r="G5" s="20"/>
      <c r="H5" s="64"/>
    </row>
    <row r="6" spans="1:8" ht="14.25" x14ac:dyDescent="0.2">
      <c r="A6" s="20" t="s">
        <v>43</v>
      </c>
      <c r="B6" s="73">
        <v>11.3</v>
      </c>
      <c r="C6" s="73">
        <v>161</v>
      </c>
      <c r="D6" s="73">
        <v>23.3</v>
      </c>
      <c r="E6" s="73">
        <v>19.3</v>
      </c>
      <c r="F6" s="73">
        <v>22.5</v>
      </c>
      <c r="G6" s="73">
        <v>12.2</v>
      </c>
      <c r="H6" s="64"/>
    </row>
    <row r="7" spans="1:8" ht="14.25" x14ac:dyDescent="0.2">
      <c r="A7" s="20" t="s">
        <v>53</v>
      </c>
      <c r="B7" s="73">
        <v>12.5</v>
      </c>
      <c r="C7" s="73">
        <v>260</v>
      </c>
      <c r="D7" s="73">
        <v>29.1</v>
      </c>
      <c r="E7" s="73">
        <v>24</v>
      </c>
      <c r="F7" s="73">
        <v>31.8</v>
      </c>
      <c r="G7" s="73">
        <v>13.9</v>
      </c>
      <c r="H7" s="64"/>
    </row>
    <row r="8" spans="1:8" ht="14.25" x14ac:dyDescent="0.2">
      <c r="A8" s="20" t="s">
        <v>65</v>
      </c>
      <c r="B8" s="73">
        <v>14.4</v>
      </c>
      <c r="C8" s="73">
        <v>252</v>
      </c>
      <c r="D8" s="73">
        <v>25.4</v>
      </c>
      <c r="E8" s="73">
        <v>26.5</v>
      </c>
      <c r="F8" s="73">
        <v>30.1</v>
      </c>
      <c r="G8" s="73">
        <v>13.8</v>
      </c>
      <c r="H8" s="64"/>
    </row>
    <row r="9" spans="1:8" ht="14.25" x14ac:dyDescent="0.2">
      <c r="A9" s="20" t="s">
        <v>71</v>
      </c>
      <c r="B9" s="73">
        <v>13</v>
      </c>
      <c r="C9" s="73">
        <v>246</v>
      </c>
      <c r="D9" s="73">
        <v>21.4</v>
      </c>
      <c r="E9" s="73">
        <v>20.6</v>
      </c>
      <c r="F9" s="73">
        <v>24.9</v>
      </c>
      <c r="G9" s="73">
        <v>13.8</v>
      </c>
      <c r="H9" s="64"/>
    </row>
    <row r="10" spans="1:8" ht="14.25" x14ac:dyDescent="0.2">
      <c r="A10" s="20" t="s">
        <v>73</v>
      </c>
      <c r="B10" s="73">
        <v>10.1</v>
      </c>
      <c r="C10" s="73">
        <v>194</v>
      </c>
      <c r="D10" s="73">
        <v>21.7</v>
      </c>
      <c r="E10" s="73">
        <v>16.899999999999999</v>
      </c>
      <c r="F10" s="73">
        <v>22</v>
      </c>
      <c r="G10" s="73">
        <v>11.8</v>
      </c>
      <c r="H10" s="64"/>
    </row>
    <row r="11" spans="1:8" ht="14.25" x14ac:dyDescent="0.2">
      <c r="A11" s="20" t="s">
        <v>74</v>
      </c>
      <c r="B11" s="73">
        <v>8.9499999999999993</v>
      </c>
      <c r="C11" s="73">
        <v>227</v>
      </c>
      <c r="D11" s="73">
        <v>19.600000000000001</v>
      </c>
      <c r="E11" s="73">
        <v>15.6</v>
      </c>
      <c r="F11" s="73">
        <v>19.3</v>
      </c>
      <c r="G11" s="73">
        <v>8.9499999999999993</v>
      </c>
      <c r="H11" s="64"/>
    </row>
    <row r="12" spans="1:8" ht="14.25" x14ac:dyDescent="0.2">
      <c r="A12" s="20" t="s">
        <v>77</v>
      </c>
      <c r="B12" s="73">
        <v>9.4700000000000006</v>
      </c>
      <c r="C12" s="73">
        <v>195</v>
      </c>
      <c r="D12" s="73">
        <v>17.399999999999999</v>
      </c>
      <c r="E12" s="73">
        <v>16.600000000000001</v>
      </c>
      <c r="F12" s="73">
        <v>19.7</v>
      </c>
      <c r="G12" s="73">
        <v>8</v>
      </c>
      <c r="H12" s="64"/>
    </row>
    <row r="13" spans="1:8" ht="14.25" x14ac:dyDescent="0.2">
      <c r="A13" s="20" t="s">
        <v>78</v>
      </c>
      <c r="B13" s="73">
        <v>9.33</v>
      </c>
      <c r="C13" s="73">
        <v>142</v>
      </c>
      <c r="D13" s="73">
        <v>17.2</v>
      </c>
      <c r="E13" s="73">
        <v>17.5</v>
      </c>
      <c r="F13" s="73">
        <v>22.9</v>
      </c>
      <c r="G13" s="73">
        <v>9.5299999999999994</v>
      </c>
      <c r="H13" s="64"/>
    </row>
    <row r="14" spans="1:8" ht="14.25" x14ac:dyDescent="0.2">
      <c r="A14" s="20" t="s">
        <v>98</v>
      </c>
      <c r="B14" s="73">
        <v>8.48</v>
      </c>
      <c r="C14" s="73">
        <v>155</v>
      </c>
      <c r="D14" s="73">
        <v>17.399999999999999</v>
      </c>
      <c r="E14" s="73">
        <v>15.8</v>
      </c>
      <c r="F14" s="73">
        <v>21.5</v>
      </c>
      <c r="G14" s="73">
        <v>9.89</v>
      </c>
      <c r="H14" s="64"/>
    </row>
    <row r="15" spans="1:8" ht="14.25" x14ac:dyDescent="0.2">
      <c r="A15" s="20" t="s">
        <v>100</v>
      </c>
      <c r="B15" s="73">
        <v>8.57</v>
      </c>
      <c r="C15" s="73">
        <v>161</v>
      </c>
      <c r="D15" s="73">
        <v>19.5</v>
      </c>
      <c r="E15" s="73">
        <v>14.8</v>
      </c>
      <c r="F15" s="73">
        <v>20.5</v>
      </c>
      <c r="G15" s="73">
        <v>9.15</v>
      </c>
      <c r="H15" s="64"/>
    </row>
    <row r="16" spans="1:8" ht="16.5" x14ac:dyDescent="0.2">
      <c r="A16" s="20" t="s">
        <v>128</v>
      </c>
      <c r="B16" s="73">
        <v>10.8</v>
      </c>
      <c r="C16" s="73">
        <v>194</v>
      </c>
      <c r="D16" s="73">
        <v>21.3</v>
      </c>
      <c r="E16" s="73">
        <v>18.400000000000002</v>
      </c>
      <c r="F16" s="73">
        <v>21</v>
      </c>
      <c r="G16" s="73">
        <v>11.102000000000002</v>
      </c>
      <c r="H16" s="64"/>
    </row>
    <row r="17" spans="1:8" ht="16.5" x14ac:dyDescent="0.2">
      <c r="A17" s="20" t="s">
        <v>129</v>
      </c>
      <c r="B17" s="73">
        <v>12.1</v>
      </c>
      <c r="C17" s="73">
        <v>235</v>
      </c>
      <c r="D17" s="73">
        <v>31</v>
      </c>
      <c r="E17" s="73">
        <v>33</v>
      </c>
      <c r="F17" s="73">
        <v>22</v>
      </c>
      <c r="G17" s="73">
        <v>25</v>
      </c>
      <c r="H17" s="64"/>
    </row>
    <row r="18" spans="1:8" ht="14.25" x14ac:dyDescent="0.2">
      <c r="A18" s="24"/>
      <c r="B18" s="74"/>
      <c r="C18" s="75"/>
      <c r="D18" s="76"/>
      <c r="E18" s="76"/>
      <c r="F18" s="77"/>
      <c r="G18" s="78"/>
      <c r="H18" s="65"/>
    </row>
    <row r="19" spans="1:8" ht="15" x14ac:dyDescent="0.25">
      <c r="A19" s="79" t="s">
        <v>103</v>
      </c>
      <c r="B19" s="73"/>
      <c r="C19" s="73"/>
      <c r="D19" s="73"/>
      <c r="E19" s="73"/>
      <c r="F19" s="73"/>
      <c r="G19" s="73"/>
    </row>
    <row r="20" spans="1:8" ht="14.25" x14ac:dyDescent="0.2">
      <c r="A20" s="24" t="s">
        <v>57</v>
      </c>
      <c r="B20" s="73">
        <v>9.24</v>
      </c>
      <c r="C20" s="73">
        <v>164</v>
      </c>
      <c r="D20" s="73">
        <v>23.7</v>
      </c>
      <c r="E20" s="73">
        <v>16.399999999999999</v>
      </c>
      <c r="F20" s="73">
        <v>20.5</v>
      </c>
      <c r="G20" s="73">
        <v>9.64</v>
      </c>
    </row>
    <row r="21" spans="1:8" ht="14.25" x14ac:dyDescent="0.2">
      <c r="A21" s="24" t="s">
        <v>44</v>
      </c>
      <c r="B21" s="73">
        <v>9.6300000000000008</v>
      </c>
      <c r="C21" s="73">
        <v>189</v>
      </c>
      <c r="D21" s="73">
        <v>19.100000000000001</v>
      </c>
      <c r="E21" s="73">
        <v>16.2</v>
      </c>
      <c r="F21" s="73">
        <v>20.9</v>
      </c>
      <c r="G21" s="73">
        <v>9.76</v>
      </c>
    </row>
    <row r="22" spans="1:8" ht="14.25" x14ac:dyDescent="0.2">
      <c r="A22" s="24" t="s">
        <v>45</v>
      </c>
      <c r="B22" s="73">
        <v>10.3</v>
      </c>
      <c r="C22" s="73">
        <v>199</v>
      </c>
      <c r="D22" s="73">
        <v>18.899999999999999</v>
      </c>
      <c r="E22" s="73">
        <v>18.100000000000001</v>
      </c>
      <c r="F22" s="73">
        <v>21.2</v>
      </c>
      <c r="G22" s="73">
        <v>10.7</v>
      </c>
    </row>
    <row r="23" spans="1:8" ht="14.25" x14ac:dyDescent="0.2">
      <c r="A23" s="24" t="s">
        <v>46</v>
      </c>
      <c r="B23" s="73">
        <v>10.6</v>
      </c>
      <c r="C23" s="73">
        <v>195</v>
      </c>
      <c r="D23" s="73">
        <v>19.2</v>
      </c>
      <c r="E23" s="73">
        <v>17.2</v>
      </c>
      <c r="F23" s="73">
        <v>20.399999999999999</v>
      </c>
      <c r="G23" s="73">
        <v>10.9</v>
      </c>
    </row>
    <row r="24" spans="1:8" ht="14.25" x14ac:dyDescent="0.2">
      <c r="A24" s="24" t="s">
        <v>47</v>
      </c>
      <c r="B24" s="73">
        <v>10.9</v>
      </c>
      <c r="C24" s="73">
        <v>209</v>
      </c>
      <c r="D24" s="73">
        <v>19.5</v>
      </c>
      <c r="E24" s="73">
        <v>18.8</v>
      </c>
      <c r="F24" s="73">
        <v>20.5</v>
      </c>
      <c r="G24" s="73">
        <v>12</v>
      </c>
    </row>
    <row r="25" spans="1:8" ht="14.25" x14ac:dyDescent="0.2">
      <c r="A25" s="24" t="s">
        <v>48</v>
      </c>
      <c r="B25" s="73">
        <v>12.7</v>
      </c>
      <c r="C25" s="73">
        <v>185</v>
      </c>
      <c r="D25" s="73">
        <v>21.4</v>
      </c>
      <c r="E25" s="73">
        <v>20.399999999999999</v>
      </c>
      <c r="F25" s="73">
        <v>20.5</v>
      </c>
      <c r="G25" s="73">
        <v>13.2</v>
      </c>
    </row>
    <row r="26" spans="1:8" ht="14.25" x14ac:dyDescent="0.2">
      <c r="A26" s="24" t="s">
        <v>49</v>
      </c>
      <c r="B26" s="73">
        <v>13.2</v>
      </c>
      <c r="C26" s="73" t="s">
        <v>10</v>
      </c>
      <c r="D26" s="73">
        <v>21.5</v>
      </c>
      <c r="E26" s="73">
        <v>22</v>
      </c>
      <c r="F26" s="73">
        <v>21.2</v>
      </c>
      <c r="G26" s="73">
        <v>15.7</v>
      </c>
    </row>
    <row r="27" spans="1:8" ht="14.25" x14ac:dyDescent="0.2">
      <c r="A27" s="24" t="s">
        <v>50</v>
      </c>
      <c r="B27" s="73">
        <v>13.9</v>
      </c>
      <c r="C27" s="73" t="s">
        <v>10</v>
      </c>
      <c r="D27" s="73">
        <v>23.7</v>
      </c>
      <c r="E27" s="73">
        <v>23.8</v>
      </c>
      <c r="F27" s="73">
        <v>21.4</v>
      </c>
      <c r="G27" s="73">
        <v>18.100000000000001</v>
      </c>
    </row>
    <row r="28" spans="1:8" ht="14.25" x14ac:dyDescent="0.2">
      <c r="A28" s="24" t="s">
        <v>51</v>
      </c>
      <c r="B28" s="73">
        <v>14.8</v>
      </c>
      <c r="C28" s="73" t="s">
        <v>10</v>
      </c>
      <c r="D28" s="73">
        <v>26.4</v>
      </c>
      <c r="E28" s="73">
        <v>26.1</v>
      </c>
      <c r="F28" s="73">
        <v>21.3</v>
      </c>
      <c r="G28" s="73">
        <v>18.3</v>
      </c>
    </row>
    <row r="29" spans="1:8" ht="14.25" x14ac:dyDescent="0.2">
      <c r="A29" s="24" t="s">
        <v>52</v>
      </c>
      <c r="B29" s="73">
        <v>14.5</v>
      </c>
      <c r="C29" s="73" t="s">
        <v>10</v>
      </c>
      <c r="D29" s="73">
        <v>28.4</v>
      </c>
      <c r="E29" s="73">
        <v>26</v>
      </c>
      <c r="F29" s="73">
        <v>21.3</v>
      </c>
      <c r="G29" s="73">
        <v>19.899999999999999</v>
      </c>
    </row>
    <row r="30" spans="1:8" ht="14.25" x14ac:dyDescent="0.2">
      <c r="A30" s="24" t="s">
        <v>54</v>
      </c>
      <c r="B30" s="73">
        <v>14.1</v>
      </c>
      <c r="C30" s="73" t="s">
        <v>10</v>
      </c>
      <c r="D30" s="73">
        <v>28</v>
      </c>
      <c r="E30" s="73">
        <v>27.7</v>
      </c>
      <c r="F30" s="73">
        <v>21.6</v>
      </c>
      <c r="G30" s="73">
        <v>20.100000000000001</v>
      </c>
    </row>
    <row r="31" spans="1:8" ht="14.25" x14ac:dyDescent="0.2">
      <c r="A31" s="24" t="s">
        <v>55</v>
      </c>
      <c r="B31" s="73">
        <v>13.7</v>
      </c>
      <c r="C31" s="73">
        <v>255</v>
      </c>
      <c r="D31" s="73">
        <v>29.4</v>
      </c>
      <c r="E31" s="73">
        <v>30.9</v>
      </c>
      <c r="F31" s="73">
        <v>21.3</v>
      </c>
      <c r="G31" s="73">
        <v>20.2</v>
      </c>
    </row>
    <row r="32" spans="1:8" ht="14.25" x14ac:dyDescent="0.2">
      <c r="A32" s="24"/>
      <c r="B32" s="73"/>
      <c r="C32" s="73"/>
      <c r="D32" s="73"/>
      <c r="E32" s="73"/>
      <c r="F32" s="73"/>
      <c r="G32" s="73"/>
    </row>
    <row r="33" spans="1:7" ht="15" x14ac:dyDescent="0.25">
      <c r="A33" s="79" t="s">
        <v>135</v>
      </c>
      <c r="B33" s="73"/>
      <c r="C33" s="73"/>
      <c r="D33" s="73"/>
      <c r="E33" s="73"/>
      <c r="F33" s="73"/>
      <c r="G33" s="73"/>
    </row>
    <row r="34" spans="1:7" ht="14.25" x14ac:dyDescent="0.2">
      <c r="A34" s="18" t="s">
        <v>57</v>
      </c>
      <c r="B34" s="17">
        <v>12.2</v>
      </c>
      <c r="C34" s="17">
        <v>235</v>
      </c>
      <c r="D34" s="17">
        <v>30.7</v>
      </c>
      <c r="E34" s="17">
        <v>28.7</v>
      </c>
      <c r="F34" s="17">
        <v>22.3</v>
      </c>
      <c r="G34" s="17">
        <v>19.8</v>
      </c>
    </row>
    <row r="35" spans="1:7" ht="16.5" x14ac:dyDescent="0.2">
      <c r="A35" s="20" t="s">
        <v>180</v>
      </c>
      <c r="B35" s="20"/>
      <c r="C35" s="20"/>
      <c r="D35" s="20"/>
      <c r="E35" s="20"/>
      <c r="F35" s="20"/>
      <c r="G35" s="20"/>
    </row>
    <row r="36" spans="1:7" ht="14.25" x14ac:dyDescent="0.2">
      <c r="A36" s="20" t="s">
        <v>89</v>
      </c>
      <c r="B36" s="20"/>
      <c r="C36" s="20"/>
      <c r="D36" s="20"/>
      <c r="E36" s="20"/>
      <c r="F36" s="20"/>
      <c r="G36" s="20"/>
    </row>
    <row r="37" spans="1:7" ht="14.25" x14ac:dyDescent="0.2">
      <c r="A37" s="26" t="s">
        <v>18</v>
      </c>
      <c r="B37" s="52">
        <f ca="1">NOW()</f>
        <v>44510.570713194444</v>
      </c>
      <c r="C37" s="20"/>
      <c r="D37" s="20"/>
      <c r="E37" s="20"/>
      <c r="F37" s="20"/>
      <c r="G37" s="20"/>
    </row>
  </sheetData>
  <phoneticPr fontId="12" type="noConversion"/>
  <pageMargins left="0.75" right="0.75" top="1" bottom="1" header="0.5" footer="0.5"/>
  <pageSetup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J58"/>
  <sheetViews>
    <sheetView showGridLines="0" zoomScale="70" zoomScaleNormal="70" workbookViewId="0"/>
  </sheetViews>
  <sheetFormatPr defaultColWidth="9.140625" defaultRowHeight="12.75" x14ac:dyDescent="0.2"/>
  <cols>
    <col min="1" max="2" width="11.7109375" style="19" customWidth="1"/>
    <col min="3" max="3" width="11.5703125" style="19" customWidth="1"/>
    <col min="4" max="4" width="13.7109375" style="19" customWidth="1"/>
    <col min="5" max="5" width="10.5703125" style="19" customWidth="1"/>
    <col min="6" max="6" width="11.5703125" style="19" bestFit="1" customWidth="1"/>
    <col min="7" max="7" width="10.7109375" style="19" customWidth="1"/>
    <col min="8" max="9" width="10.5703125" style="19" customWidth="1"/>
    <col min="10" max="11" width="9.140625" style="19"/>
    <col min="12" max="12" width="22.28515625" style="19" bestFit="1" customWidth="1"/>
    <col min="13" max="13" width="20.28515625" style="19" bestFit="1" customWidth="1"/>
    <col min="14" max="16384" width="9.140625" style="19"/>
  </cols>
  <sheetData>
    <row r="1" spans="1:9" ht="14.25" x14ac:dyDescent="0.2">
      <c r="A1" s="18" t="s">
        <v>120</v>
      </c>
      <c r="B1" s="18"/>
      <c r="C1" s="18"/>
      <c r="D1" s="18"/>
      <c r="E1" s="18"/>
      <c r="F1" s="18"/>
      <c r="G1" s="18"/>
      <c r="H1" s="18"/>
      <c r="I1" s="20"/>
    </row>
    <row r="2" spans="1:9" ht="15.6" customHeight="1" x14ac:dyDescent="0.2">
      <c r="A2" s="80" t="s">
        <v>11</v>
      </c>
      <c r="B2" s="41" t="s">
        <v>35</v>
      </c>
      <c r="C2" s="41" t="s">
        <v>13</v>
      </c>
      <c r="D2" s="41" t="s">
        <v>64</v>
      </c>
      <c r="E2" s="81" t="s">
        <v>41</v>
      </c>
      <c r="F2" s="81" t="s">
        <v>36</v>
      </c>
      <c r="G2" s="41" t="s">
        <v>40</v>
      </c>
      <c r="H2" s="41" t="s">
        <v>184</v>
      </c>
      <c r="I2" s="82" t="s">
        <v>39</v>
      </c>
    </row>
    <row r="3" spans="1:9" ht="15.6" customHeight="1" x14ac:dyDescent="0.2">
      <c r="A3" s="83" t="s">
        <v>12</v>
      </c>
      <c r="B3" s="29" t="s">
        <v>183</v>
      </c>
      <c r="C3" s="29" t="s">
        <v>90</v>
      </c>
      <c r="D3" s="29" t="s">
        <v>91</v>
      </c>
      <c r="E3" s="29" t="s">
        <v>91</v>
      </c>
      <c r="F3" s="29" t="s">
        <v>92</v>
      </c>
      <c r="G3" s="29" t="s">
        <v>92</v>
      </c>
      <c r="H3" s="29"/>
      <c r="I3" s="29" t="s">
        <v>185</v>
      </c>
    </row>
    <row r="4" spans="1:9" ht="14.25" x14ac:dyDescent="0.2">
      <c r="A4" s="20"/>
      <c r="B4" s="84" t="s">
        <v>111</v>
      </c>
      <c r="C4" s="85"/>
      <c r="D4" s="85"/>
      <c r="E4" s="85"/>
      <c r="F4" s="85"/>
      <c r="G4" s="85"/>
      <c r="H4" s="85"/>
      <c r="I4" s="85"/>
    </row>
    <row r="5" spans="1:9" ht="14.25" x14ac:dyDescent="0.2">
      <c r="A5" s="20"/>
      <c r="B5" s="20"/>
      <c r="C5" s="20"/>
      <c r="D5" s="20"/>
      <c r="E5" s="20"/>
      <c r="F5" s="20"/>
      <c r="G5" s="20"/>
      <c r="H5" s="20"/>
      <c r="I5" s="20"/>
    </row>
    <row r="6" spans="1:9" ht="14.25" x14ac:dyDescent="0.2">
      <c r="A6" s="20" t="s">
        <v>43</v>
      </c>
      <c r="B6" s="73">
        <v>53.2</v>
      </c>
      <c r="C6" s="73">
        <v>54.5</v>
      </c>
      <c r="D6" s="73">
        <v>86.12</v>
      </c>
      <c r="E6" s="73">
        <v>58.68</v>
      </c>
      <c r="F6" s="73">
        <v>77.239999999999995</v>
      </c>
      <c r="G6" s="73">
        <v>60.76</v>
      </c>
      <c r="H6" s="73">
        <v>51.52</v>
      </c>
      <c r="I6" s="73">
        <v>51.34</v>
      </c>
    </row>
    <row r="7" spans="1:9" ht="14.25" x14ac:dyDescent="0.2">
      <c r="A7" s="20" t="s">
        <v>53</v>
      </c>
      <c r="B7" s="73">
        <v>51.9</v>
      </c>
      <c r="C7" s="73">
        <v>53.22</v>
      </c>
      <c r="D7" s="73">
        <v>83.2</v>
      </c>
      <c r="E7" s="73">
        <v>57.19</v>
      </c>
      <c r="F7" s="73">
        <v>100.15</v>
      </c>
      <c r="G7" s="73">
        <v>56.09</v>
      </c>
      <c r="H7" s="73">
        <v>48.11</v>
      </c>
      <c r="I7" s="73">
        <v>50.33</v>
      </c>
    </row>
    <row r="8" spans="1:9" ht="14.25" x14ac:dyDescent="0.2">
      <c r="A8" s="20" t="s">
        <v>65</v>
      </c>
      <c r="B8" s="73">
        <v>47.13</v>
      </c>
      <c r="C8" s="73">
        <v>48.6</v>
      </c>
      <c r="D8" s="73">
        <v>65.87</v>
      </c>
      <c r="E8" s="73">
        <v>56.17</v>
      </c>
      <c r="F8" s="73">
        <v>91.83</v>
      </c>
      <c r="G8" s="73">
        <v>46.66</v>
      </c>
      <c r="H8" s="73">
        <v>51.8</v>
      </c>
      <c r="I8" s="73">
        <v>43.24</v>
      </c>
    </row>
    <row r="9" spans="1:9" ht="14.25" x14ac:dyDescent="0.2">
      <c r="A9" s="20" t="s">
        <v>71</v>
      </c>
      <c r="B9" s="73">
        <v>38.229999999999997</v>
      </c>
      <c r="C9" s="73">
        <v>60.66</v>
      </c>
      <c r="D9" s="73">
        <v>59.12</v>
      </c>
      <c r="E9" s="73">
        <v>43.7</v>
      </c>
      <c r="F9" s="73">
        <v>68.23</v>
      </c>
      <c r="G9" s="73">
        <v>39.43</v>
      </c>
      <c r="H9" s="73">
        <v>43.93</v>
      </c>
      <c r="I9" s="73">
        <v>39.76</v>
      </c>
    </row>
    <row r="10" spans="1:9" ht="14.25" x14ac:dyDescent="0.2">
      <c r="A10" s="20" t="s">
        <v>73</v>
      </c>
      <c r="B10" s="73">
        <v>31.6</v>
      </c>
      <c r="C10" s="73">
        <v>45.74</v>
      </c>
      <c r="D10" s="73">
        <v>66.72</v>
      </c>
      <c r="E10" s="73">
        <v>37.81</v>
      </c>
      <c r="F10" s="73">
        <v>57.96</v>
      </c>
      <c r="G10" s="73">
        <v>37.479999999999997</v>
      </c>
      <c r="H10" s="73">
        <v>33.43</v>
      </c>
      <c r="I10" s="73">
        <v>31.36</v>
      </c>
    </row>
    <row r="11" spans="1:9" ht="14.25" x14ac:dyDescent="0.2">
      <c r="A11" s="20" t="s">
        <v>74</v>
      </c>
      <c r="B11" s="73">
        <v>29.86</v>
      </c>
      <c r="C11" s="73">
        <v>45.87</v>
      </c>
      <c r="D11" s="73">
        <v>57.81</v>
      </c>
      <c r="E11" s="73">
        <v>35.270000000000003</v>
      </c>
      <c r="F11" s="73">
        <v>58.26</v>
      </c>
      <c r="G11" s="73">
        <v>39.25</v>
      </c>
      <c r="H11" s="73">
        <v>32.229999999999997</v>
      </c>
      <c r="I11" s="73">
        <v>30.07</v>
      </c>
    </row>
    <row r="12" spans="1:9" ht="14.25" x14ac:dyDescent="0.2">
      <c r="A12" s="20" t="s">
        <v>77</v>
      </c>
      <c r="B12" s="73">
        <v>32.549999999999997</v>
      </c>
      <c r="C12" s="73">
        <v>40.92</v>
      </c>
      <c r="D12" s="73">
        <v>53.54</v>
      </c>
      <c r="E12" s="73">
        <v>38.729999999999997</v>
      </c>
      <c r="F12" s="73">
        <v>66.73</v>
      </c>
      <c r="G12" s="73">
        <v>37.43</v>
      </c>
      <c r="H12" s="73">
        <v>33.07</v>
      </c>
      <c r="I12" s="73">
        <v>34.75</v>
      </c>
    </row>
    <row r="13" spans="1:9" ht="14.25" x14ac:dyDescent="0.2">
      <c r="A13" s="20" t="s">
        <v>78</v>
      </c>
      <c r="B13" s="73">
        <v>30.04</v>
      </c>
      <c r="C13" s="73">
        <v>31.87</v>
      </c>
      <c r="D13" s="73">
        <v>54.57</v>
      </c>
      <c r="E13" s="73">
        <v>38.270000000000003</v>
      </c>
      <c r="F13" s="73">
        <v>66.72</v>
      </c>
      <c r="G13" s="73">
        <v>30.35</v>
      </c>
      <c r="H13" s="73">
        <v>34.159999999999997</v>
      </c>
      <c r="I13" s="73">
        <v>31.21</v>
      </c>
    </row>
    <row r="14" spans="1:9" ht="14.25" x14ac:dyDescent="0.2">
      <c r="A14" s="20" t="s">
        <v>98</v>
      </c>
      <c r="B14" s="73">
        <v>28.26</v>
      </c>
      <c r="C14" s="73">
        <v>35.14</v>
      </c>
      <c r="D14" s="73">
        <v>53.28</v>
      </c>
      <c r="E14" s="73">
        <v>36.090000000000003</v>
      </c>
      <c r="F14" s="73">
        <v>64.72</v>
      </c>
      <c r="G14" s="73">
        <v>26.93</v>
      </c>
      <c r="H14" s="73">
        <v>31.65</v>
      </c>
      <c r="I14" s="73">
        <v>33.11</v>
      </c>
    </row>
    <row r="15" spans="1:9" ht="14.25" x14ac:dyDescent="0.2">
      <c r="A15" s="20" t="s">
        <v>100</v>
      </c>
      <c r="B15" s="73">
        <v>29.65</v>
      </c>
      <c r="C15" s="73">
        <v>40.18</v>
      </c>
      <c r="D15" s="73">
        <v>65.03</v>
      </c>
      <c r="E15" s="73">
        <v>37.869999999999997</v>
      </c>
      <c r="F15" s="73">
        <v>62</v>
      </c>
      <c r="G15" s="73">
        <v>39.47</v>
      </c>
      <c r="H15" s="73">
        <v>35.75</v>
      </c>
      <c r="I15" s="73">
        <v>38.369999999999997</v>
      </c>
    </row>
    <row r="16" spans="1:9" ht="16.5" x14ac:dyDescent="0.2">
      <c r="A16" s="20" t="s">
        <v>181</v>
      </c>
      <c r="B16" s="73">
        <v>56.87</v>
      </c>
      <c r="C16" s="73">
        <v>80.94</v>
      </c>
      <c r="D16" s="73">
        <v>79.000000000000014</v>
      </c>
      <c r="E16" s="73">
        <v>70.459999999999994</v>
      </c>
      <c r="F16" s="73">
        <v>101.4</v>
      </c>
      <c r="G16" s="73">
        <v>44</v>
      </c>
      <c r="H16" s="73">
        <v>43.5</v>
      </c>
      <c r="I16" s="73">
        <v>39</v>
      </c>
    </row>
    <row r="17" spans="1:10" ht="16.5" x14ac:dyDescent="0.2">
      <c r="A17" s="20" t="s">
        <v>182</v>
      </c>
      <c r="B17" s="73">
        <v>65</v>
      </c>
      <c r="C17" s="73">
        <v>90</v>
      </c>
      <c r="D17" s="73">
        <v>90</v>
      </c>
      <c r="E17" s="73">
        <v>75</v>
      </c>
      <c r="F17" s="73">
        <v>105</v>
      </c>
      <c r="G17" s="73">
        <v>78</v>
      </c>
      <c r="H17" s="73">
        <v>56</v>
      </c>
      <c r="I17" s="73">
        <v>58</v>
      </c>
    </row>
    <row r="18" spans="1:10" ht="14.25" x14ac:dyDescent="0.2">
      <c r="A18" s="20"/>
      <c r="B18" s="39"/>
      <c r="C18" s="75"/>
      <c r="D18" s="86"/>
      <c r="E18" s="86"/>
      <c r="F18" s="86"/>
      <c r="G18" s="86"/>
      <c r="H18" s="20"/>
      <c r="I18" s="20"/>
    </row>
    <row r="19" spans="1:10" ht="15" x14ac:dyDescent="0.25">
      <c r="A19" s="42" t="s">
        <v>103</v>
      </c>
      <c r="B19" s="73"/>
      <c r="C19" s="73"/>
      <c r="D19" s="73"/>
      <c r="E19" s="73"/>
      <c r="F19" s="73"/>
      <c r="G19" s="73"/>
      <c r="H19" s="73"/>
      <c r="I19" s="73"/>
    </row>
    <row r="20" spans="1:10" ht="14.25" x14ac:dyDescent="0.2">
      <c r="A20" s="24" t="s">
        <v>44</v>
      </c>
      <c r="B20" s="73">
        <v>33.909999999999997</v>
      </c>
      <c r="C20" s="73">
        <v>48.35</v>
      </c>
      <c r="D20" s="73">
        <v>57</v>
      </c>
      <c r="E20" s="73">
        <v>44.35</v>
      </c>
      <c r="F20" s="73">
        <v>93</v>
      </c>
      <c r="G20" s="73">
        <v>42.4375</v>
      </c>
      <c r="H20" s="73" t="s">
        <v>10</v>
      </c>
      <c r="I20" s="73">
        <v>34.5</v>
      </c>
    </row>
    <row r="21" spans="1:10" ht="14.25" x14ac:dyDescent="0.2">
      <c r="A21" s="24" t="s">
        <v>45</v>
      </c>
      <c r="B21" s="73">
        <v>37.79</v>
      </c>
      <c r="C21" s="73">
        <v>54.4375</v>
      </c>
      <c r="D21" s="73" t="s">
        <v>10</v>
      </c>
      <c r="E21" s="73">
        <v>49.5</v>
      </c>
      <c r="F21" s="73">
        <v>98.75</v>
      </c>
      <c r="G21" s="73">
        <v>42.524999999999999</v>
      </c>
      <c r="H21" s="73">
        <v>41</v>
      </c>
      <c r="I21" s="73">
        <v>34</v>
      </c>
    </row>
    <row r="22" spans="1:10" ht="14.25" x14ac:dyDescent="0.2">
      <c r="A22" s="24" t="s">
        <v>46</v>
      </c>
      <c r="B22" s="73">
        <v>40.85</v>
      </c>
      <c r="C22" s="73">
        <v>59.2</v>
      </c>
      <c r="D22" s="73" t="s">
        <v>10</v>
      </c>
      <c r="E22" s="73">
        <v>51.65</v>
      </c>
      <c r="F22" s="73">
        <v>100</v>
      </c>
      <c r="G22" s="73">
        <v>41.725000000000001</v>
      </c>
      <c r="H22" s="73" t="s">
        <v>10</v>
      </c>
      <c r="I22" s="73">
        <v>36.25</v>
      </c>
    </row>
    <row r="23" spans="1:10" ht="14.25" x14ac:dyDescent="0.2">
      <c r="A23" s="24" t="s">
        <v>47</v>
      </c>
      <c r="B23" s="73">
        <v>44.31</v>
      </c>
      <c r="C23" s="73">
        <v>63.1875</v>
      </c>
      <c r="D23" s="73" t="s">
        <v>10</v>
      </c>
      <c r="E23" s="73">
        <v>53.3125</v>
      </c>
      <c r="F23" s="73">
        <v>90</v>
      </c>
      <c r="G23" s="73">
        <v>43.337499999999999</v>
      </c>
      <c r="H23" s="73" t="s">
        <v>10</v>
      </c>
      <c r="I23" s="73">
        <v>48.129999999999995</v>
      </c>
    </row>
    <row r="24" spans="1:10" ht="14.25" x14ac:dyDescent="0.2">
      <c r="A24" s="24" t="s">
        <v>48</v>
      </c>
      <c r="B24" s="73">
        <v>48.37</v>
      </c>
      <c r="C24" s="73">
        <v>73.625</v>
      </c>
      <c r="D24" s="73" t="s">
        <v>10</v>
      </c>
      <c r="E24" s="73">
        <v>58.9375</v>
      </c>
      <c r="F24" s="73">
        <v>93</v>
      </c>
      <c r="G24" s="73">
        <v>44.945</v>
      </c>
      <c r="H24" s="73" t="s">
        <v>10</v>
      </c>
      <c r="I24" s="73">
        <v>53.125</v>
      </c>
    </row>
    <row r="25" spans="1:10" ht="14.25" x14ac:dyDescent="0.2">
      <c r="A25" s="24" t="s">
        <v>49</v>
      </c>
      <c r="B25" s="73">
        <v>56</v>
      </c>
      <c r="C25" s="73">
        <v>86.9375</v>
      </c>
      <c r="D25" s="73" t="s">
        <v>10</v>
      </c>
      <c r="E25" s="73">
        <v>71.3125</v>
      </c>
      <c r="F25" s="73">
        <v>105.25</v>
      </c>
      <c r="G25" s="73">
        <v>52.05</v>
      </c>
      <c r="H25" s="73">
        <v>55</v>
      </c>
      <c r="I25" s="73">
        <v>55.943333333333328</v>
      </c>
    </row>
    <row r="26" spans="1:10" ht="14.25" x14ac:dyDescent="0.2">
      <c r="A26" s="24" t="s">
        <v>50</v>
      </c>
      <c r="B26" s="73">
        <v>62.88</v>
      </c>
      <c r="C26" s="73">
        <v>92.65</v>
      </c>
      <c r="D26" s="73">
        <v>83</v>
      </c>
      <c r="E26" s="73">
        <v>79.55</v>
      </c>
      <c r="F26" s="73">
        <v>109.2</v>
      </c>
      <c r="G26" s="73">
        <v>59.8125</v>
      </c>
      <c r="H26" s="73" t="s">
        <v>10</v>
      </c>
      <c r="I26" s="73">
        <v>59.3825</v>
      </c>
    </row>
    <row r="27" spans="1:10" ht="14.25" x14ac:dyDescent="0.2">
      <c r="A27" s="24" t="s">
        <v>51</v>
      </c>
      <c r="B27" s="73">
        <v>74.75</v>
      </c>
      <c r="C27" s="73">
        <v>102.1875</v>
      </c>
      <c r="D27" s="73">
        <v>83</v>
      </c>
      <c r="E27" s="73">
        <v>94.0625</v>
      </c>
      <c r="F27" s="73">
        <v>110</v>
      </c>
      <c r="G27" s="73">
        <v>68.25</v>
      </c>
      <c r="H27" s="73">
        <v>58</v>
      </c>
      <c r="I27" s="73">
        <v>64.724999999999994</v>
      </c>
      <c r="J27" s="90"/>
    </row>
    <row r="28" spans="1:10" ht="14.25" x14ac:dyDescent="0.2">
      <c r="A28" s="24" t="s">
        <v>52</v>
      </c>
      <c r="B28" s="73">
        <v>74.75</v>
      </c>
      <c r="C28" s="73">
        <v>100.6875</v>
      </c>
      <c r="D28" s="73" t="s">
        <v>10</v>
      </c>
      <c r="E28" s="73">
        <v>93.5</v>
      </c>
      <c r="F28" s="73">
        <v>108.1875</v>
      </c>
      <c r="G28" s="73">
        <v>67.599999999999994</v>
      </c>
      <c r="H28" s="73" t="s">
        <v>10</v>
      </c>
      <c r="I28" s="73">
        <v>63.666666666666664</v>
      </c>
    </row>
    <row r="29" spans="1:10" ht="14.25" x14ac:dyDescent="0.2">
      <c r="A29" s="24" t="s">
        <v>54</v>
      </c>
      <c r="B29" s="73">
        <v>72.930000000000007</v>
      </c>
      <c r="C29" s="73">
        <v>99.9</v>
      </c>
      <c r="D29" s="73" t="s">
        <v>10</v>
      </c>
      <c r="E29" s="73">
        <v>92.3</v>
      </c>
      <c r="F29" s="73">
        <v>106</v>
      </c>
      <c r="G29" s="73">
        <v>66.094999999999999</v>
      </c>
      <c r="H29" s="73" t="s">
        <v>10</v>
      </c>
      <c r="I29" s="73">
        <v>66.333333333333329</v>
      </c>
    </row>
    <row r="30" spans="1:10" ht="14.25" x14ac:dyDescent="0.2">
      <c r="A30" s="24" t="s">
        <v>55</v>
      </c>
      <c r="B30" s="73">
        <v>70.010000000000005</v>
      </c>
      <c r="C30" s="73">
        <v>96.5</v>
      </c>
      <c r="D30" s="73" t="s">
        <v>10</v>
      </c>
      <c r="E30" s="73">
        <v>81</v>
      </c>
      <c r="F30" s="73">
        <v>108.75</v>
      </c>
      <c r="G30" s="73">
        <v>64.156000000000006</v>
      </c>
      <c r="H30" s="73">
        <v>72.333333333333329</v>
      </c>
      <c r="I30" s="73">
        <v>72</v>
      </c>
    </row>
    <row r="31" spans="1:10" ht="14.25" x14ac:dyDescent="0.2">
      <c r="A31" s="24" t="s">
        <v>57</v>
      </c>
      <c r="B31" s="73">
        <v>65.930000000000007</v>
      </c>
      <c r="C31" s="73">
        <v>93.625</v>
      </c>
      <c r="D31" s="73" t="s">
        <v>10</v>
      </c>
      <c r="E31" s="73">
        <v>76</v>
      </c>
      <c r="F31" s="73">
        <v>105</v>
      </c>
      <c r="G31" s="73">
        <v>53.184999999999995</v>
      </c>
      <c r="H31" s="73" t="s">
        <v>10</v>
      </c>
      <c r="I31" s="73">
        <v>71.75</v>
      </c>
    </row>
    <row r="32" spans="1:10" ht="14.25" x14ac:dyDescent="0.2">
      <c r="A32" s="24"/>
      <c r="B32" s="73"/>
      <c r="C32" s="73"/>
      <c r="D32" s="73"/>
      <c r="E32" s="73"/>
      <c r="F32" s="73"/>
      <c r="G32" s="73"/>
      <c r="H32" s="73"/>
      <c r="I32" s="73"/>
    </row>
    <row r="33" spans="1:9" ht="15" x14ac:dyDescent="0.25">
      <c r="A33" s="60" t="s">
        <v>135</v>
      </c>
      <c r="B33" s="73"/>
      <c r="C33" s="73"/>
      <c r="D33" s="73"/>
      <c r="E33" s="73"/>
      <c r="F33" s="73"/>
      <c r="G33" s="73"/>
      <c r="H33" s="73"/>
      <c r="I33" s="73"/>
    </row>
    <row r="34" spans="1:9" ht="14.25" x14ac:dyDescent="0.2">
      <c r="A34" s="18" t="s">
        <v>44</v>
      </c>
      <c r="B34" s="17">
        <v>70.42</v>
      </c>
      <c r="C34" s="17">
        <v>98.5</v>
      </c>
      <c r="D34" s="17">
        <v>129</v>
      </c>
      <c r="E34" s="17">
        <v>82.3</v>
      </c>
      <c r="F34" s="17">
        <v>101.5</v>
      </c>
      <c r="G34" s="17">
        <v>57.069999999999993</v>
      </c>
      <c r="H34" s="17" t="s">
        <v>10</v>
      </c>
      <c r="I34" s="17" t="s">
        <v>10</v>
      </c>
    </row>
    <row r="35" spans="1:9" ht="16.5" x14ac:dyDescent="0.2">
      <c r="A35" s="63" t="s">
        <v>187</v>
      </c>
      <c r="B35" s="88"/>
      <c r="C35" s="88"/>
      <c r="D35" s="88"/>
      <c r="E35" s="88"/>
      <c r="F35" s="88"/>
      <c r="G35" s="88"/>
      <c r="H35" s="88"/>
      <c r="I35" s="88"/>
    </row>
    <row r="36" spans="1:9" ht="16.5" x14ac:dyDescent="0.2">
      <c r="A36" s="20" t="s">
        <v>186</v>
      </c>
      <c r="B36" s="88"/>
      <c r="C36" s="88"/>
      <c r="D36" s="88"/>
      <c r="E36" s="88"/>
      <c r="F36" s="88"/>
      <c r="G36" s="88"/>
      <c r="H36" s="88"/>
      <c r="I36" s="88"/>
    </row>
    <row r="37" spans="1:9" ht="14.25" x14ac:dyDescent="0.2">
      <c r="A37" s="20" t="s">
        <v>142</v>
      </c>
      <c r="B37" s="20"/>
      <c r="C37" s="20"/>
      <c r="D37" s="20"/>
      <c r="E37" s="20"/>
      <c r="F37" s="88"/>
      <c r="G37" s="20"/>
      <c r="H37" s="20"/>
      <c r="I37" s="20"/>
    </row>
    <row r="38" spans="1:9" ht="14.25" x14ac:dyDescent="0.2">
      <c r="A38" s="26" t="s">
        <v>18</v>
      </c>
      <c r="B38" s="52">
        <f ca="1">NOW()</f>
        <v>44510.570713194444</v>
      </c>
      <c r="C38" s="20"/>
      <c r="D38" s="20"/>
      <c r="E38" s="20"/>
      <c r="F38" s="20"/>
      <c r="G38" s="20"/>
      <c r="H38" s="20"/>
      <c r="I38" s="20"/>
    </row>
    <row r="39" spans="1:9" ht="15.75" x14ac:dyDescent="0.25">
      <c r="C39" s="89"/>
      <c r="G39" s="89"/>
      <c r="H39" s="89"/>
      <c r="I39" s="89"/>
    </row>
    <row r="40" spans="1:9" ht="15.75" x14ac:dyDescent="0.25">
      <c r="B40" s="90"/>
      <c r="C40" s="89"/>
      <c r="G40" s="89"/>
      <c r="H40" s="89"/>
      <c r="I40" s="89"/>
    </row>
    <row r="41" spans="1:9" ht="15.75" x14ac:dyDescent="0.25">
      <c r="B41" s="90"/>
      <c r="C41" s="133"/>
      <c r="G41" s="89"/>
      <c r="H41" s="89"/>
      <c r="I41" s="89"/>
    </row>
    <row r="42" spans="1:9" ht="15.75" x14ac:dyDescent="0.25">
      <c r="C42" s="89"/>
      <c r="G42" s="89"/>
      <c r="H42" s="89"/>
      <c r="I42" s="89"/>
    </row>
    <row r="43" spans="1:9" ht="15.75" x14ac:dyDescent="0.25">
      <c r="C43" s="89"/>
      <c r="G43" s="89"/>
      <c r="H43" s="89"/>
      <c r="I43" s="89"/>
    </row>
    <row r="44" spans="1:9" ht="15.75" x14ac:dyDescent="0.25">
      <c r="C44" s="89"/>
      <c r="G44" s="89"/>
      <c r="H44" s="89"/>
      <c r="I44" s="89"/>
    </row>
    <row r="45" spans="1:9" ht="15.75" x14ac:dyDescent="0.25">
      <c r="C45" s="89"/>
      <c r="G45" s="89"/>
      <c r="H45" s="89"/>
      <c r="I45" s="89"/>
    </row>
    <row r="46" spans="1:9" ht="15.75" x14ac:dyDescent="0.25">
      <c r="C46" s="89"/>
      <c r="G46" s="89"/>
      <c r="H46" s="89"/>
      <c r="I46" s="89"/>
    </row>
    <row r="47" spans="1:9" ht="15.75" x14ac:dyDescent="0.25">
      <c r="C47" s="89"/>
      <c r="G47" s="89"/>
      <c r="H47" s="89"/>
      <c r="I47" s="89"/>
    </row>
    <row r="48" spans="1:9" ht="15.75" x14ac:dyDescent="0.25">
      <c r="C48" s="89"/>
      <c r="G48" s="89"/>
      <c r="H48" s="89"/>
      <c r="I48" s="89"/>
    </row>
    <row r="49" spans="3:9" ht="15.75" x14ac:dyDescent="0.25">
      <c r="C49" s="89"/>
      <c r="G49" s="89"/>
      <c r="H49" s="89"/>
      <c r="I49" s="89"/>
    </row>
    <row r="50" spans="3:9" ht="15.75" x14ac:dyDescent="0.25">
      <c r="C50" s="89"/>
      <c r="G50" s="89"/>
      <c r="H50" s="89"/>
      <c r="I50" s="89"/>
    </row>
    <row r="51" spans="3:9" ht="15.75" x14ac:dyDescent="0.25">
      <c r="C51" s="89"/>
      <c r="G51" s="89"/>
      <c r="H51" s="89"/>
      <c r="I51" s="89"/>
    </row>
    <row r="52" spans="3:9" ht="15.75" x14ac:dyDescent="0.25">
      <c r="C52" s="89"/>
      <c r="G52" s="89"/>
      <c r="H52" s="89"/>
      <c r="I52" s="89"/>
    </row>
    <row r="53" spans="3:9" ht="15.75" x14ac:dyDescent="0.25">
      <c r="C53" s="89"/>
      <c r="G53" s="89"/>
      <c r="H53" s="89"/>
      <c r="I53" s="89"/>
    </row>
    <row r="54" spans="3:9" ht="15.75" x14ac:dyDescent="0.25">
      <c r="C54" s="89"/>
      <c r="G54" s="89"/>
      <c r="H54" s="89"/>
      <c r="I54" s="89"/>
    </row>
    <row r="55" spans="3:9" ht="15.75" x14ac:dyDescent="0.25">
      <c r="C55" s="89"/>
      <c r="H55" s="89"/>
      <c r="I55" s="89"/>
    </row>
    <row r="56" spans="3:9" ht="15.75" x14ac:dyDescent="0.25">
      <c r="C56" s="89"/>
      <c r="H56" s="89"/>
      <c r="I56" s="89"/>
    </row>
    <row r="57" spans="3:9" ht="15.75" x14ac:dyDescent="0.25">
      <c r="C57" s="89"/>
      <c r="F57" s="90"/>
      <c r="H57" s="89"/>
      <c r="I57" s="89"/>
    </row>
    <row r="58" spans="3:9" ht="15.75" x14ac:dyDescent="0.25">
      <c r="F58" s="90"/>
      <c r="H58" s="89"/>
      <c r="I58" s="89"/>
    </row>
  </sheetData>
  <phoneticPr fontId="12" type="noConversion"/>
  <pageMargins left="0.75" right="0.75" top="1" bottom="1" header="0.5" footer="0.5"/>
  <pageSetup scale="8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E50"/>
  <sheetViews>
    <sheetView showGridLines="0" zoomScale="70" zoomScaleNormal="70" workbookViewId="0"/>
  </sheetViews>
  <sheetFormatPr defaultColWidth="9.140625" defaultRowHeight="12.75" x14ac:dyDescent="0.2"/>
  <cols>
    <col min="1" max="1" width="11.7109375" style="19" customWidth="1"/>
    <col min="2" max="7" width="13.7109375" style="19" customWidth="1"/>
    <col min="8" max="8" width="10.140625" style="19" bestFit="1" customWidth="1"/>
    <col min="9" max="9" width="9.140625" style="19"/>
    <col min="10" max="10" width="20.28515625" style="19" bestFit="1" customWidth="1"/>
    <col min="11" max="13" width="9.140625" style="19"/>
    <col min="14" max="14" width="8.85546875" style="19" customWidth="1"/>
    <col min="15" max="15" width="18" style="19" bestFit="1" customWidth="1"/>
    <col min="16" max="16384" width="9.140625" style="19"/>
  </cols>
  <sheetData>
    <row r="1" spans="1:31" ht="14.25" x14ac:dyDescent="0.2">
      <c r="A1" s="18" t="s">
        <v>121</v>
      </c>
      <c r="B1" s="18"/>
      <c r="C1" s="18"/>
      <c r="D1" s="18"/>
      <c r="E1" s="18"/>
      <c r="F1" s="18"/>
      <c r="G1" s="18"/>
    </row>
    <row r="2" spans="1:31" ht="15.6" customHeight="1" x14ac:dyDescent="0.2">
      <c r="A2" s="24" t="s">
        <v>11</v>
      </c>
      <c r="B2" s="41" t="s">
        <v>35</v>
      </c>
      <c r="C2" s="91" t="s">
        <v>13</v>
      </c>
      <c r="D2" s="91" t="s">
        <v>64</v>
      </c>
      <c r="E2" s="91" t="s">
        <v>36</v>
      </c>
      <c r="F2" s="41" t="s">
        <v>37</v>
      </c>
      <c r="G2" s="22" t="s">
        <v>38</v>
      </c>
      <c r="AE2" s="92"/>
    </row>
    <row r="3" spans="1:31" ht="15.6" customHeight="1" x14ac:dyDescent="0.2">
      <c r="A3" s="18" t="s">
        <v>12</v>
      </c>
      <c r="B3" s="29" t="s">
        <v>188</v>
      </c>
      <c r="C3" s="29" t="s">
        <v>93</v>
      </c>
      <c r="D3" s="29" t="s">
        <v>94</v>
      </c>
      <c r="E3" s="29" t="s">
        <v>95</v>
      </c>
      <c r="F3" s="29" t="s">
        <v>96</v>
      </c>
      <c r="G3" s="29" t="s">
        <v>97</v>
      </c>
      <c r="AE3" s="92"/>
    </row>
    <row r="4" spans="1:31" ht="14.25" x14ac:dyDescent="0.2">
      <c r="A4" s="20"/>
      <c r="B4" s="84" t="s">
        <v>112</v>
      </c>
      <c r="C4" s="85"/>
      <c r="D4" s="85"/>
      <c r="E4" s="85"/>
      <c r="F4" s="85"/>
      <c r="G4" s="85"/>
      <c r="AE4" s="92"/>
    </row>
    <row r="5" spans="1:31" ht="14.25" x14ac:dyDescent="0.2">
      <c r="A5" s="20"/>
      <c r="B5" s="20"/>
      <c r="C5" s="20"/>
      <c r="D5" s="20"/>
      <c r="E5" s="20"/>
      <c r="F5" s="20"/>
      <c r="G5" s="20"/>
      <c r="AE5" s="92"/>
    </row>
    <row r="6" spans="1:31" ht="14.25" x14ac:dyDescent="0.2">
      <c r="A6" s="20" t="s">
        <v>43</v>
      </c>
      <c r="B6" s="73">
        <v>345.52</v>
      </c>
      <c r="C6" s="73">
        <v>273.83999999999997</v>
      </c>
      <c r="D6" s="73">
        <v>219.72</v>
      </c>
      <c r="E6" s="93" t="s">
        <v>10</v>
      </c>
      <c r="F6" s="73">
        <v>263.63</v>
      </c>
      <c r="G6" s="73">
        <v>240.65</v>
      </c>
      <c r="AE6" s="92"/>
    </row>
    <row r="7" spans="1:31" ht="14.25" x14ac:dyDescent="0.2">
      <c r="A7" s="20" t="s">
        <v>53</v>
      </c>
      <c r="B7" s="73">
        <v>393.53</v>
      </c>
      <c r="C7" s="73">
        <v>275.13</v>
      </c>
      <c r="D7" s="73">
        <v>246.75</v>
      </c>
      <c r="E7" s="93" t="s">
        <v>10</v>
      </c>
      <c r="F7" s="73">
        <v>307.58999999999997</v>
      </c>
      <c r="G7" s="73">
        <v>265.68</v>
      </c>
      <c r="AE7" s="92"/>
    </row>
    <row r="8" spans="1:31" ht="14.25" x14ac:dyDescent="0.2">
      <c r="A8" s="20" t="s">
        <v>65</v>
      </c>
      <c r="B8" s="73">
        <v>468.11</v>
      </c>
      <c r="C8" s="73">
        <v>331.52</v>
      </c>
      <c r="D8" s="73">
        <v>241.57</v>
      </c>
      <c r="E8" s="93" t="s">
        <v>10</v>
      </c>
      <c r="F8" s="73">
        <v>354.22</v>
      </c>
      <c r="G8" s="73">
        <v>329.31</v>
      </c>
      <c r="AE8" s="92"/>
    </row>
    <row r="9" spans="1:31" ht="14.25" x14ac:dyDescent="0.2">
      <c r="A9" s="20" t="s">
        <v>71</v>
      </c>
      <c r="B9" s="73">
        <v>489.94</v>
      </c>
      <c r="C9" s="73">
        <v>377.71</v>
      </c>
      <c r="D9" s="73">
        <v>238.87</v>
      </c>
      <c r="E9" s="93" t="s">
        <v>10</v>
      </c>
      <c r="F9" s="73">
        <v>359.7</v>
      </c>
      <c r="G9" s="73">
        <v>337.23</v>
      </c>
      <c r="AE9" s="92"/>
    </row>
    <row r="10" spans="1:31" ht="14.25" x14ac:dyDescent="0.2">
      <c r="A10" s="20" t="s">
        <v>73</v>
      </c>
      <c r="B10" s="73">
        <v>368.49</v>
      </c>
      <c r="C10" s="73">
        <v>304.27</v>
      </c>
      <c r="D10" s="73">
        <v>209.97</v>
      </c>
      <c r="E10" s="93" t="s">
        <v>10</v>
      </c>
      <c r="F10" s="73">
        <v>301.2</v>
      </c>
      <c r="G10" s="73">
        <v>256.58</v>
      </c>
      <c r="AE10" s="92"/>
    </row>
    <row r="11" spans="1:31" ht="14.25" x14ac:dyDescent="0.2">
      <c r="A11" s="20" t="s">
        <v>74</v>
      </c>
      <c r="B11" s="73">
        <v>324.56</v>
      </c>
      <c r="C11" s="73">
        <v>261.19</v>
      </c>
      <c r="D11" s="73">
        <v>153.16999999999999</v>
      </c>
      <c r="E11" s="93" t="s">
        <v>10</v>
      </c>
      <c r="F11" s="73">
        <v>262.2</v>
      </c>
      <c r="G11" s="73">
        <v>260.23</v>
      </c>
      <c r="AE11" s="92"/>
    </row>
    <row r="12" spans="1:31" ht="14.25" x14ac:dyDescent="0.2">
      <c r="A12" s="20" t="s">
        <v>77</v>
      </c>
      <c r="B12" s="73">
        <v>316.88</v>
      </c>
      <c r="C12" s="73">
        <v>208.61</v>
      </c>
      <c r="D12" s="73">
        <v>145.1</v>
      </c>
      <c r="E12" s="93" t="s">
        <v>10</v>
      </c>
      <c r="F12" s="73">
        <v>267.94</v>
      </c>
      <c r="G12" s="73">
        <v>282.49</v>
      </c>
      <c r="AE12" s="92"/>
    </row>
    <row r="13" spans="1:31" ht="14.25" x14ac:dyDescent="0.2">
      <c r="A13" s="20" t="s">
        <v>78</v>
      </c>
      <c r="B13" s="73">
        <v>345.02</v>
      </c>
      <c r="C13" s="73">
        <v>260.88</v>
      </c>
      <c r="D13" s="73">
        <v>173.53</v>
      </c>
      <c r="E13" s="93" t="s">
        <v>10</v>
      </c>
      <c r="F13" s="73">
        <v>291.14999999999998</v>
      </c>
      <c r="G13" s="73">
        <v>239.15</v>
      </c>
    </row>
    <row r="14" spans="1:31" ht="14.25" x14ac:dyDescent="0.2">
      <c r="A14" s="20" t="s">
        <v>98</v>
      </c>
      <c r="B14" s="73">
        <v>308.27999999999997</v>
      </c>
      <c r="C14" s="73">
        <v>228.64</v>
      </c>
      <c r="D14" s="87">
        <v>164.16</v>
      </c>
      <c r="E14" s="93" t="s">
        <v>10</v>
      </c>
      <c r="F14" s="73">
        <v>272.38</v>
      </c>
      <c r="G14" s="73">
        <v>225.77</v>
      </c>
    </row>
    <row r="15" spans="1:31" ht="14.25" x14ac:dyDescent="0.2">
      <c r="A15" s="20" t="s">
        <v>100</v>
      </c>
      <c r="B15" s="73">
        <v>299.5</v>
      </c>
      <c r="C15" s="73">
        <v>247.04</v>
      </c>
      <c r="D15" s="87">
        <v>187.7</v>
      </c>
      <c r="E15" s="93" t="s">
        <v>10</v>
      </c>
      <c r="F15" s="73">
        <v>273.99</v>
      </c>
      <c r="G15" s="73">
        <v>245.88</v>
      </c>
    </row>
    <row r="16" spans="1:31" ht="16.5" x14ac:dyDescent="0.2">
      <c r="A16" s="20" t="s">
        <v>189</v>
      </c>
      <c r="B16" s="73">
        <v>392.31</v>
      </c>
      <c r="C16" s="73">
        <v>375.51</v>
      </c>
      <c r="D16" s="87">
        <v>246.22</v>
      </c>
      <c r="E16" s="93" t="s">
        <v>10</v>
      </c>
      <c r="F16" s="73">
        <v>351.87</v>
      </c>
      <c r="G16" s="73">
        <v>288.12</v>
      </c>
    </row>
    <row r="17" spans="1:16" ht="16.5" x14ac:dyDescent="0.2">
      <c r="A17" s="20" t="s">
        <v>190</v>
      </c>
      <c r="B17" s="73">
        <v>325</v>
      </c>
      <c r="C17" s="73">
        <v>300</v>
      </c>
      <c r="D17" s="87">
        <v>180</v>
      </c>
      <c r="E17" s="93" t="s">
        <v>10</v>
      </c>
      <c r="F17" s="73">
        <v>295</v>
      </c>
      <c r="G17" s="73">
        <v>225</v>
      </c>
    </row>
    <row r="18" spans="1:16" ht="15" x14ac:dyDescent="0.2">
      <c r="A18" s="24"/>
      <c r="B18" s="73"/>
      <c r="C18" s="73"/>
      <c r="D18" s="73"/>
      <c r="E18" s="93"/>
      <c r="F18" s="73"/>
      <c r="G18" s="73"/>
      <c r="I18" s="94"/>
      <c r="J18" s="96"/>
      <c r="K18" s="96"/>
      <c r="L18" s="94"/>
      <c r="M18" s="96"/>
      <c r="N18" s="96"/>
      <c r="O18" s="96"/>
      <c r="P18" s="96"/>
    </row>
    <row r="19" spans="1:16" ht="15" x14ac:dyDescent="0.25">
      <c r="A19" s="42" t="s">
        <v>103</v>
      </c>
      <c r="B19" s="73"/>
      <c r="C19" s="73"/>
      <c r="D19" s="73"/>
      <c r="E19" s="93"/>
      <c r="F19" s="73"/>
      <c r="G19" s="73"/>
      <c r="I19" s="95"/>
      <c r="J19" s="96"/>
      <c r="K19" s="96"/>
      <c r="L19" s="94"/>
      <c r="M19" s="94"/>
      <c r="P19" s="96"/>
    </row>
    <row r="20" spans="1:16" ht="15" x14ac:dyDescent="0.2">
      <c r="A20" s="20" t="s">
        <v>44</v>
      </c>
      <c r="B20" s="73">
        <v>367.11</v>
      </c>
      <c r="C20" s="73">
        <v>301.88</v>
      </c>
      <c r="D20" s="73">
        <v>211.25</v>
      </c>
      <c r="E20" s="93" t="s">
        <v>10</v>
      </c>
      <c r="F20" s="73">
        <v>327.24</v>
      </c>
      <c r="G20" s="73">
        <v>239.375</v>
      </c>
      <c r="H20" s="97"/>
      <c r="I20" s="94"/>
      <c r="J20" s="96"/>
      <c r="K20" s="96"/>
      <c r="L20" s="94"/>
      <c r="M20" s="94"/>
      <c r="P20" s="96"/>
    </row>
    <row r="21" spans="1:16" ht="15" x14ac:dyDescent="0.2">
      <c r="A21" s="20" t="s">
        <v>45</v>
      </c>
      <c r="B21" s="73">
        <v>387.83</v>
      </c>
      <c r="C21" s="73">
        <v>365.63</v>
      </c>
      <c r="D21" s="73">
        <v>216.25</v>
      </c>
      <c r="E21" s="93" t="s">
        <v>10</v>
      </c>
      <c r="F21" s="73">
        <v>333.89</v>
      </c>
      <c r="G21" s="73">
        <v>253.75</v>
      </c>
      <c r="H21" s="97"/>
      <c r="I21" s="94"/>
      <c r="J21" s="20"/>
      <c r="K21" s="96"/>
      <c r="L21" s="94"/>
      <c r="M21" s="94"/>
    </row>
    <row r="22" spans="1:16" ht="15" x14ac:dyDescent="0.2">
      <c r="A22" s="20" t="s">
        <v>46</v>
      </c>
      <c r="B22" s="73">
        <v>396.68</v>
      </c>
      <c r="C22" s="73">
        <v>435.83</v>
      </c>
      <c r="D22" s="73">
        <v>252.5</v>
      </c>
      <c r="E22" s="93" t="s">
        <v>10</v>
      </c>
      <c r="F22" s="73">
        <v>338.55</v>
      </c>
      <c r="G22" s="73">
        <v>275</v>
      </c>
      <c r="H22" s="97"/>
      <c r="I22" s="94"/>
      <c r="J22" s="20"/>
      <c r="K22" s="96"/>
      <c r="L22" s="94"/>
    </row>
    <row r="23" spans="1:16" ht="15" x14ac:dyDescent="0.2">
      <c r="A23" s="24" t="s">
        <v>47</v>
      </c>
      <c r="B23" s="73">
        <v>439.24</v>
      </c>
      <c r="C23" s="73">
        <v>443.75</v>
      </c>
      <c r="D23" s="73">
        <v>280.63</v>
      </c>
      <c r="E23" s="93" t="s">
        <v>10</v>
      </c>
      <c r="F23" s="73">
        <v>387.53</v>
      </c>
      <c r="G23" s="73">
        <v>313.125</v>
      </c>
      <c r="I23" s="94"/>
      <c r="J23" s="96"/>
      <c r="K23" s="96"/>
      <c r="L23" s="96"/>
      <c r="M23" s="96"/>
      <c r="N23" s="96"/>
    </row>
    <row r="24" spans="1:16" ht="15" x14ac:dyDescent="0.25">
      <c r="A24" s="24" t="s">
        <v>48</v>
      </c>
      <c r="B24" s="73">
        <v>427.28</v>
      </c>
      <c r="C24" s="73">
        <v>460</v>
      </c>
      <c r="D24" s="73">
        <v>291.88</v>
      </c>
      <c r="E24" s="93" t="s">
        <v>10</v>
      </c>
      <c r="F24" s="73">
        <v>376.07499999999999</v>
      </c>
      <c r="G24" s="73">
        <v>296.25</v>
      </c>
      <c r="I24" s="94"/>
      <c r="J24" s="98"/>
      <c r="K24" s="96"/>
      <c r="L24" s="94"/>
      <c r="M24" s="94"/>
      <c r="O24" s="96"/>
    </row>
    <row r="25" spans="1:16" ht="15" x14ac:dyDescent="0.2">
      <c r="A25" s="24" t="s">
        <v>49</v>
      </c>
      <c r="B25" s="73">
        <v>410.02</v>
      </c>
      <c r="C25" s="73">
        <v>456</v>
      </c>
      <c r="D25" s="73">
        <v>279.5</v>
      </c>
      <c r="E25" s="93" t="s">
        <v>10</v>
      </c>
      <c r="F25" s="73">
        <v>365.14</v>
      </c>
      <c r="G25" s="73">
        <v>322</v>
      </c>
      <c r="I25" s="94"/>
      <c r="J25" s="24"/>
      <c r="K25" s="94"/>
      <c r="L25" s="94"/>
      <c r="M25" s="94"/>
      <c r="O25" s="96"/>
    </row>
    <row r="26" spans="1:16" ht="15" x14ac:dyDescent="0.25">
      <c r="A26" s="24" t="s">
        <v>50</v>
      </c>
      <c r="B26" s="73">
        <v>413.36</v>
      </c>
      <c r="C26" s="73">
        <v>415</v>
      </c>
      <c r="D26" s="73">
        <v>258.125</v>
      </c>
      <c r="E26" s="93" t="s">
        <v>10</v>
      </c>
      <c r="F26" s="73">
        <v>377.57499999999999</v>
      </c>
      <c r="G26" s="73">
        <v>318.75</v>
      </c>
      <c r="I26" s="42"/>
      <c r="J26" s="24"/>
      <c r="K26" s="94"/>
      <c r="L26" s="94"/>
      <c r="M26" s="94"/>
      <c r="O26" s="96"/>
    </row>
    <row r="27" spans="1:16" ht="15" x14ac:dyDescent="0.2">
      <c r="A27" s="24" t="s">
        <v>51</v>
      </c>
      <c r="B27" s="73">
        <v>421.03</v>
      </c>
      <c r="C27" s="73">
        <v>360.625</v>
      </c>
      <c r="D27" s="73">
        <v>265</v>
      </c>
      <c r="E27" s="93" t="s">
        <v>10</v>
      </c>
      <c r="F27" s="73">
        <v>391.45</v>
      </c>
      <c r="G27" s="73">
        <v>335.63</v>
      </c>
      <c r="I27" s="20"/>
      <c r="J27" s="24"/>
      <c r="K27" s="94"/>
      <c r="L27" s="94"/>
      <c r="M27" s="94"/>
      <c r="O27" s="96"/>
    </row>
    <row r="28" spans="1:16" ht="15" x14ac:dyDescent="0.2">
      <c r="A28" s="24" t="s">
        <v>52</v>
      </c>
      <c r="B28" s="73">
        <v>378.18</v>
      </c>
      <c r="C28" s="73">
        <v>337.5</v>
      </c>
      <c r="D28" s="73">
        <v>252.5</v>
      </c>
      <c r="E28" s="93" t="s">
        <v>10</v>
      </c>
      <c r="F28" s="73">
        <v>345.9</v>
      </c>
      <c r="G28" s="73">
        <v>293.5</v>
      </c>
      <c r="I28" s="20"/>
      <c r="J28" s="24"/>
      <c r="K28" s="94"/>
      <c r="L28" s="94"/>
      <c r="M28" s="94"/>
      <c r="O28" s="96"/>
    </row>
    <row r="29" spans="1:16" ht="15" x14ac:dyDescent="0.2">
      <c r="A29" s="24" t="s">
        <v>54</v>
      </c>
      <c r="B29" s="73">
        <v>365.23</v>
      </c>
      <c r="C29" s="73">
        <v>321.875</v>
      </c>
      <c r="D29" s="73">
        <v>206.25</v>
      </c>
      <c r="E29" s="93" t="s">
        <v>10</v>
      </c>
      <c r="F29" s="73">
        <v>326.67499999999995</v>
      </c>
      <c r="G29" s="73">
        <v>262.5</v>
      </c>
      <c r="I29" s="20"/>
      <c r="J29" s="24"/>
      <c r="K29" s="94"/>
      <c r="L29" s="94"/>
      <c r="M29" s="94"/>
      <c r="O29" s="96"/>
    </row>
    <row r="30" spans="1:16" ht="15" x14ac:dyDescent="0.2">
      <c r="A30" s="24" t="s">
        <v>55</v>
      </c>
      <c r="B30" s="73">
        <v>358.21</v>
      </c>
      <c r="C30" s="73">
        <v>303</v>
      </c>
      <c r="D30" s="73">
        <v>219.5</v>
      </c>
      <c r="E30" s="93" t="s">
        <v>10</v>
      </c>
      <c r="F30" s="73">
        <v>329.45</v>
      </c>
      <c r="G30" s="73">
        <v>287.5</v>
      </c>
      <c r="I30" s="20"/>
      <c r="J30" s="24"/>
      <c r="K30" s="94"/>
      <c r="L30" s="94"/>
      <c r="M30" s="94"/>
      <c r="O30" s="96"/>
    </row>
    <row r="31" spans="1:16" ht="15" x14ac:dyDescent="0.2">
      <c r="A31" s="24" t="s">
        <v>57</v>
      </c>
      <c r="B31" s="73">
        <v>343.55</v>
      </c>
      <c r="C31" s="73">
        <v>305</v>
      </c>
      <c r="D31" s="73">
        <v>221.25</v>
      </c>
      <c r="E31" s="93" t="s">
        <v>10</v>
      </c>
      <c r="F31" s="73">
        <v>322.96249999999998</v>
      </c>
      <c r="G31" s="73">
        <v>260</v>
      </c>
      <c r="I31" s="20"/>
      <c r="J31" s="24"/>
      <c r="K31" s="94"/>
      <c r="L31" s="94"/>
      <c r="M31" s="94"/>
      <c r="O31" s="96"/>
    </row>
    <row r="32" spans="1:16" ht="14.25" x14ac:dyDescent="0.2">
      <c r="A32" s="24"/>
      <c r="B32" s="73"/>
      <c r="C32" s="73"/>
      <c r="D32" s="73"/>
      <c r="E32" s="73"/>
      <c r="F32" s="73"/>
      <c r="G32" s="73"/>
      <c r="H32" s="73"/>
      <c r="I32" s="73"/>
    </row>
    <row r="33" spans="1:13" ht="15" x14ac:dyDescent="0.25">
      <c r="A33" s="60" t="s">
        <v>135</v>
      </c>
      <c r="B33" s="73"/>
      <c r="C33" s="73"/>
      <c r="D33" s="73"/>
      <c r="E33" s="73"/>
      <c r="F33" s="73"/>
      <c r="G33" s="73"/>
      <c r="H33" s="73"/>
      <c r="I33" s="73"/>
    </row>
    <row r="34" spans="1:13" ht="14.25" x14ac:dyDescent="0.2">
      <c r="A34" s="18" t="s">
        <v>44</v>
      </c>
      <c r="B34" s="17">
        <v>325.43</v>
      </c>
      <c r="C34" s="17">
        <v>298.75</v>
      </c>
      <c r="D34" s="17">
        <v>222.5</v>
      </c>
      <c r="E34" s="144" t="s">
        <v>10</v>
      </c>
      <c r="F34" s="17">
        <v>322.82499999999999</v>
      </c>
      <c r="G34" s="17">
        <v>265.625</v>
      </c>
      <c r="H34" s="73"/>
      <c r="I34" s="73"/>
    </row>
    <row r="35" spans="1:13" ht="16.5" x14ac:dyDescent="0.2">
      <c r="A35" s="63" t="s">
        <v>197</v>
      </c>
      <c r="B35" s="99"/>
      <c r="C35" s="99"/>
      <c r="D35" s="99"/>
      <c r="E35" s="99"/>
      <c r="F35" s="99"/>
      <c r="G35" s="99"/>
      <c r="I35" s="20"/>
      <c r="J35" s="94"/>
      <c r="K35" s="94"/>
      <c r="L35" s="94"/>
    </row>
    <row r="36" spans="1:13" ht="16.5" x14ac:dyDescent="0.2">
      <c r="A36" s="63" t="s">
        <v>191</v>
      </c>
      <c r="B36" s="100"/>
      <c r="C36" s="100"/>
      <c r="D36" s="100"/>
      <c r="E36" s="100"/>
      <c r="F36" s="100"/>
      <c r="G36" s="100"/>
      <c r="I36" s="20"/>
      <c r="J36" s="73"/>
      <c r="K36" s="94"/>
      <c r="L36" s="94"/>
      <c r="M36" s="94"/>
    </row>
    <row r="37" spans="1:13" ht="14.25" x14ac:dyDescent="0.2">
      <c r="A37" s="20"/>
      <c r="B37" s="100"/>
      <c r="C37" s="100"/>
      <c r="D37" s="100"/>
      <c r="E37" s="100"/>
      <c r="F37" s="100"/>
      <c r="G37" s="100"/>
      <c r="H37" s="64"/>
      <c r="I37" s="24"/>
      <c r="J37" s="73"/>
      <c r="K37" s="94"/>
      <c r="L37" s="94"/>
      <c r="M37" s="94"/>
    </row>
    <row r="38" spans="1:13" ht="14.25" x14ac:dyDescent="0.2">
      <c r="A38" s="20" t="s">
        <v>132</v>
      </c>
      <c r="B38" s="20"/>
      <c r="C38" s="20"/>
      <c r="D38" s="20"/>
      <c r="E38" s="20"/>
      <c r="F38" s="100"/>
      <c r="G38" s="100"/>
      <c r="I38" s="24"/>
      <c r="J38" s="73"/>
      <c r="K38" s="94"/>
      <c r="L38" s="94"/>
      <c r="M38" s="94"/>
    </row>
    <row r="39" spans="1:13" ht="14.25" x14ac:dyDescent="0.2">
      <c r="A39" s="26" t="s">
        <v>18</v>
      </c>
      <c r="B39" s="52">
        <f ca="1">NOW()</f>
        <v>44510.570713194444</v>
      </c>
      <c r="C39" s="20"/>
      <c r="D39" s="20"/>
      <c r="E39" s="20"/>
      <c r="F39" s="100"/>
      <c r="G39" s="100"/>
      <c r="I39" s="24"/>
      <c r="J39" s="73"/>
      <c r="K39" s="101"/>
      <c r="L39" s="101"/>
      <c r="M39" s="101"/>
    </row>
    <row r="40" spans="1:13" ht="14.25" x14ac:dyDescent="0.2">
      <c r="F40" s="100"/>
      <c r="G40" s="100"/>
      <c r="I40" s="24"/>
      <c r="J40" s="73"/>
      <c r="K40" s="101"/>
      <c r="L40" s="101"/>
      <c r="M40" s="101"/>
    </row>
    <row r="41" spans="1:13" ht="14.25" x14ac:dyDescent="0.2">
      <c r="F41" s="100"/>
      <c r="G41" s="100"/>
      <c r="I41" s="24"/>
      <c r="J41" s="73"/>
      <c r="K41" s="94"/>
      <c r="L41" s="94"/>
      <c r="M41" s="94"/>
    </row>
    <row r="42" spans="1:13" x14ac:dyDescent="0.2">
      <c r="I42" s="102"/>
      <c r="J42" s="102"/>
      <c r="K42" s="94"/>
      <c r="L42" s="94"/>
      <c r="M42" s="94"/>
    </row>
    <row r="43" spans="1:13" x14ac:dyDescent="0.2">
      <c r="I43" s="103"/>
      <c r="J43" s="103"/>
      <c r="K43" s="94"/>
      <c r="L43" s="94"/>
      <c r="M43" s="94"/>
    </row>
    <row r="44" spans="1:13" x14ac:dyDescent="0.2">
      <c r="I44" s="103"/>
      <c r="J44" s="103"/>
      <c r="K44" s="94"/>
      <c r="L44" s="94"/>
      <c r="M44" s="94"/>
    </row>
    <row r="45" spans="1:13" x14ac:dyDescent="0.2">
      <c r="I45" s="103"/>
      <c r="J45" s="103"/>
      <c r="K45" s="94"/>
      <c r="L45" s="94"/>
      <c r="M45" s="94"/>
    </row>
    <row r="46" spans="1:13" x14ac:dyDescent="0.2">
      <c r="I46" s="103"/>
      <c r="J46" s="103"/>
      <c r="K46" s="94"/>
      <c r="L46" s="94"/>
      <c r="M46" s="94"/>
    </row>
    <row r="48" spans="1:13" x14ac:dyDescent="0.2">
      <c r="I48" s="104"/>
      <c r="J48" s="104"/>
      <c r="K48" s="104"/>
      <c r="L48" s="104"/>
      <c r="M48" s="104"/>
    </row>
    <row r="49" spans="9:13" x14ac:dyDescent="0.2">
      <c r="I49" s="104"/>
      <c r="J49" s="104"/>
      <c r="K49" s="104"/>
      <c r="L49" s="104"/>
      <c r="M49" s="104"/>
    </row>
    <row r="50" spans="9:13" x14ac:dyDescent="0.2">
      <c r="J50" s="104"/>
    </row>
  </sheetData>
  <phoneticPr fontId="12" type="noConversion"/>
  <pageMargins left="0.75" right="0.75" top="1" bottom="1" header="0.5" footer="0.5"/>
  <pageSetup scale="96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CE0EE-7AB4-4BA1-B193-42AF2486725D}">
  <dimension ref="A1:P11"/>
  <sheetViews>
    <sheetView zoomScaleNormal="100" workbookViewId="0"/>
  </sheetViews>
  <sheetFormatPr defaultColWidth="8.85546875" defaultRowHeight="15" x14ac:dyDescent="0.25"/>
  <cols>
    <col min="1" max="1" width="10.140625" style="132" bestFit="1" customWidth="1"/>
    <col min="2" max="2" width="11" style="132" customWidth="1"/>
    <col min="3" max="4" width="10.140625" style="131" customWidth="1"/>
    <col min="5" max="16384" width="8.85546875" style="131"/>
  </cols>
  <sheetData>
    <row r="1" spans="1:16" x14ac:dyDescent="0.25">
      <c r="B1" s="146" t="s">
        <v>143</v>
      </c>
      <c r="C1" s="147"/>
      <c r="D1" s="147"/>
    </row>
    <row r="2" spans="1:16" ht="26.25" x14ac:dyDescent="0.25">
      <c r="A2" s="145" t="s">
        <v>178</v>
      </c>
      <c r="B2" s="162" t="s">
        <v>192</v>
      </c>
      <c r="C2" s="130">
        <v>2020</v>
      </c>
      <c r="D2" s="130">
        <v>2021</v>
      </c>
    </row>
    <row r="3" spans="1:16" x14ac:dyDescent="0.25">
      <c r="A3" s="153">
        <v>44451</v>
      </c>
      <c r="B3" s="161">
        <v>0</v>
      </c>
      <c r="C3" s="161">
        <v>0</v>
      </c>
      <c r="D3" s="161">
        <v>0</v>
      </c>
    </row>
    <row r="4" spans="1:16" x14ac:dyDescent="0.25">
      <c r="A4" s="153">
        <v>44458</v>
      </c>
      <c r="B4" s="161">
        <v>6</v>
      </c>
      <c r="C4" s="161">
        <v>5</v>
      </c>
      <c r="D4" s="161">
        <v>6</v>
      </c>
      <c r="P4" s="148"/>
    </row>
    <row r="5" spans="1:16" x14ac:dyDescent="0.25">
      <c r="A5" s="153">
        <v>44465</v>
      </c>
      <c r="B5" s="161">
        <v>13</v>
      </c>
      <c r="C5" s="161">
        <v>18</v>
      </c>
      <c r="D5" s="161">
        <v>16</v>
      </c>
      <c r="P5" s="148"/>
    </row>
    <row r="6" spans="1:16" x14ac:dyDescent="0.25">
      <c r="A6" s="153">
        <v>44472</v>
      </c>
      <c r="B6" s="161">
        <v>26</v>
      </c>
      <c r="C6" s="161">
        <v>35</v>
      </c>
      <c r="D6" s="161">
        <v>34</v>
      </c>
    </row>
    <row r="7" spans="1:16" x14ac:dyDescent="0.25">
      <c r="A7" s="153">
        <v>44479</v>
      </c>
      <c r="B7" s="161">
        <v>40</v>
      </c>
      <c r="C7" s="161">
        <v>58</v>
      </c>
      <c r="D7" s="161">
        <v>49</v>
      </c>
    </row>
    <row r="8" spans="1:16" x14ac:dyDescent="0.25">
      <c r="A8" s="153">
        <v>44486</v>
      </c>
      <c r="B8" s="161">
        <v>55</v>
      </c>
      <c r="C8" s="161">
        <v>73</v>
      </c>
      <c r="D8" s="161">
        <v>60</v>
      </c>
    </row>
    <row r="9" spans="1:16" x14ac:dyDescent="0.25">
      <c r="A9" s="153">
        <v>44493</v>
      </c>
      <c r="B9" s="161">
        <v>70</v>
      </c>
      <c r="C9" s="161">
        <v>82</v>
      </c>
      <c r="D9" s="161">
        <v>73</v>
      </c>
    </row>
    <row r="10" spans="1:16" x14ac:dyDescent="0.25">
      <c r="A10" s="153">
        <v>44500</v>
      </c>
      <c r="B10" s="161">
        <v>81</v>
      </c>
      <c r="C10" s="161">
        <v>86</v>
      </c>
      <c r="D10" s="161">
        <v>79</v>
      </c>
    </row>
    <row r="11" spans="1:16" x14ac:dyDescent="0.25">
      <c r="A11" s="153">
        <v>44507</v>
      </c>
      <c r="B11" s="161">
        <v>88</v>
      </c>
      <c r="C11" s="161">
        <v>91</v>
      </c>
      <c r="D11" s="161">
        <v>87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711008381A4489560F302ED63725A" ma:contentTypeVersion="11" ma:contentTypeDescription="Create a new document." ma:contentTypeScope="" ma:versionID="887cff17742744b02a1c83dd32c3b354">
  <xsd:schema xmlns:xsd="http://www.w3.org/2001/XMLSchema" xmlns:xs="http://www.w3.org/2001/XMLSchema" xmlns:p="http://schemas.microsoft.com/office/2006/metadata/properties" xmlns:ns3="642c2d5b-b5cd-4c4f-95a0-231891633038" xmlns:ns4="9d29759f-fdc3-4b89-93e8-7a818e788e93" targetNamespace="http://schemas.microsoft.com/office/2006/metadata/properties" ma:root="true" ma:fieldsID="eca4ca4c91a3a67dac508b2f26fcc458" ns3:_="" ns4:_="">
    <xsd:import namespace="642c2d5b-b5cd-4c4f-95a0-231891633038"/>
    <xsd:import namespace="9d29759f-fdc3-4b89-93e8-7a818e788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c2d5b-b5cd-4c4f-95a0-2318916330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9759f-fdc3-4b89-93e8-7a818e788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A8D954-8A64-4F7C-B553-C236DC8A07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F9FD27-698A-4259-BC06-6D4A65A05AE8}">
  <ds:schemaRefs>
    <ds:schemaRef ds:uri="http://www.w3.org/XML/1998/namespace"/>
    <ds:schemaRef ds:uri="http://purl.org/dc/terms/"/>
    <ds:schemaRef ds:uri="642c2d5b-b5cd-4c4f-95a0-23189163303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d29759f-fdc3-4b89-93e8-7a818e788e9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D11575-6B8F-46EE-93E0-60356AADF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c2d5b-b5cd-4c4f-95a0-231891633038"/>
    <ds:schemaRef ds:uri="9d29759f-fdc3-4b89-93e8-7a818e788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Contents</vt:lpstr>
      <vt:lpstr>Table 1</vt:lpstr>
      <vt:lpstr>Table 2</vt:lpstr>
      <vt:lpstr>Table 3</vt:lpstr>
      <vt:lpstr>Tables 4-7</vt:lpstr>
      <vt:lpstr>Table 8</vt:lpstr>
      <vt:lpstr>Table 9</vt:lpstr>
      <vt:lpstr>Table 10</vt:lpstr>
      <vt:lpstr>Cover</vt:lpstr>
      <vt:lpstr>Figure 1</vt:lpstr>
      <vt:lpstr>Figure 2</vt:lpstr>
      <vt:lpstr>Figure 3</vt:lpstr>
      <vt:lpstr>Figure 4</vt:lpstr>
      <vt:lpstr>'Table 1'!Print_Area</vt:lpstr>
      <vt:lpstr>'Table 10'!Print_Area</vt:lpstr>
      <vt:lpstr>'Table 2'!Print_Area</vt:lpstr>
      <vt:lpstr>'Table 3'!Print_Area</vt:lpstr>
      <vt:lpstr>'Table 8'!Print_Area</vt:lpstr>
      <vt:lpstr>'Table 9'!Print_Area</vt:lpstr>
      <vt:lpstr>'Tables 4-7'!Print_Area</vt:lpstr>
    </vt:vector>
  </TitlesOfParts>
  <Manager/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Oil Crops Outlook tables</dc:title>
  <dc:subject>Agricultural economics</dc:subject>
  <dc:creator>Aaron Ates</dc:creator>
  <cp:keywords>oil crops, outlook, soybeans, soybean meal, soybean oil, cottonseed, sunflowerseed, sunflowerseed oil, peanuts, canola, canola oil, supply, disappearance, price, USDA, U.S. Department of Agriculture, ERS, Economic Research Service</cp:keywords>
  <dc:description/>
  <cp:lastModifiedBy>Ates, Aaron - REE-ERS, Kansas City, MO</cp:lastModifiedBy>
  <cp:lastPrinted>2014-11-10T20:35:48Z</cp:lastPrinted>
  <dcterms:created xsi:type="dcterms:W3CDTF">2001-11-13T16:22:15Z</dcterms:created>
  <dcterms:modified xsi:type="dcterms:W3CDTF">2021-11-10T19:54:13Z</dcterms:modified>
  <cp:category>Oilseeds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0x010100509711008381A4489560F302ED63725A</vt:lpwstr>
  </property>
</Properties>
</file>