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MANN\2018DOCS\OCS\11Nov\"/>
    </mc:Choice>
  </mc:AlternateContent>
  <bookViews>
    <workbookView xWindow="0" yWindow="0" windowWidth="18870" windowHeight="7215" tabRatio="633"/>
  </bookViews>
  <sheets>
    <sheet name="Contents" sheetId="10" r:id="rId1"/>
    <sheet name="Table 1" sheetId="1" r:id="rId2"/>
    <sheet name="Table 2" sheetId="2" r:id="rId3"/>
    <sheet name="Table 3" sheetId="9" r:id="rId4"/>
    <sheet name="Tables 4-7" sheetId="3" r:id="rId5"/>
    <sheet name="Table 8" sheetId="4" r:id="rId6"/>
    <sheet name="Table 9" sheetId="5" r:id="rId7"/>
    <sheet name="Table 10" sheetId="6" r:id="rId8"/>
    <sheet name="Cover" sheetId="11" r:id="rId9"/>
    <sheet name="Oil Crops Chart Gallery Fig 1" sheetId="8" r:id="rId10"/>
    <sheet name="Oil Crops Chart Gallery Fig 2" sheetId="12" r:id="rId11"/>
  </sheets>
  <definedNames>
    <definedName name="_xlnm.Print_Area" localSheetId="1">'Table 1'!$A$1:$N$34</definedName>
    <definedName name="_xlnm.Print_Area" localSheetId="7">'Table 10'!$A$1:$G$36</definedName>
    <definedName name="_xlnm.Print_Area" localSheetId="2">'Table 2'!$A$1:$J$40</definedName>
    <definedName name="_xlnm.Print_Area" localSheetId="3">'Table 3'!$A$1:$M$41</definedName>
    <definedName name="_xlnm.Print_Area" localSheetId="5">'Table 8'!$A$1:$G$34</definedName>
    <definedName name="_xlnm.Print_Area" localSheetId="6">'Table 9'!$A$1:$I$36</definedName>
    <definedName name="_xlnm.Print_Area" localSheetId="4">'Tables 4-7'!$A$1:$O$52</definedName>
    <definedName name="WASDE_Updated" localSheetId="0">Contents!#REF!</definedName>
  </definedNames>
  <calcPr calcId="152511" iterate="1" iterateCount="1000" iterateDelta="0.01" calcOnSave="0"/>
</workbook>
</file>

<file path=xl/calcChain.xml><?xml version="1.0" encoding="utf-8"?>
<calcChain xmlns="http://schemas.openxmlformats.org/spreadsheetml/2006/main">
  <c r="C5" i="11" l="1"/>
  <c r="C6" i="11"/>
  <c r="C7" i="11"/>
  <c r="C8" i="11"/>
  <c r="C10" i="11"/>
  <c r="C11" i="11"/>
  <c r="B5" i="11"/>
  <c r="B6" i="11"/>
  <c r="B7" i="11"/>
  <c r="B8" i="11"/>
  <c r="B10" i="11"/>
  <c r="B11" i="11"/>
  <c r="B12" i="11"/>
  <c r="C12" i="11"/>
  <c r="C14" i="12" l="1"/>
  <c r="C13" i="12"/>
  <c r="C12" i="12"/>
  <c r="C11" i="12"/>
  <c r="C10" i="12"/>
  <c r="C9" i="12"/>
  <c r="C8" i="12"/>
  <c r="C7" i="12"/>
  <c r="C6" i="12"/>
  <c r="C5" i="12"/>
  <c r="H39" i="9"/>
  <c r="J38" i="9"/>
  <c r="D38" i="9"/>
  <c r="D37" i="2"/>
  <c r="H37" i="2"/>
  <c r="G31" i="1"/>
  <c r="L31" i="1"/>
  <c r="L38" i="9"/>
  <c r="J31" i="1"/>
  <c r="J37" i="2"/>
  <c r="C37" i="2"/>
  <c r="C4" i="11"/>
  <c r="C9" i="11"/>
  <c r="B9" i="11"/>
  <c r="B4" i="11"/>
  <c r="L8" i="9"/>
  <c r="D8" i="9"/>
  <c r="E8" i="9"/>
  <c r="K8" i="9"/>
  <c r="I39" i="9"/>
  <c r="J39" i="9"/>
  <c r="J8" i="9"/>
  <c r="I37" i="9"/>
  <c r="E38" i="9"/>
  <c r="K38" i="9"/>
  <c r="D39" i="9"/>
  <c r="C39" i="9"/>
  <c r="C8" i="9"/>
  <c r="B38" i="9"/>
  <c r="J7" i="2"/>
  <c r="H38" i="2"/>
  <c r="H7" i="2"/>
  <c r="D38" i="2"/>
  <c r="D7" i="2"/>
  <c r="E7" i="2"/>
  <c r="I7" i="2"/>
  <c r="C38" i="2"/>
  <c r="C7" i="2"/>
  <c r="E37" i="2"/>
  <c r="I37" i="2"/>
  <c r="G37" i="2"/>
  <c r="G38" i="2"/>
  <c r="B37" i="2"/>
  <c r="H31" i="1"/>
  <c r="E31" i="1"/>
  <c r="J37" i="9"/>
  <c r="D37" i="9"/>
  <c r="H36" i="2"/>
  <c r="D36" i="2"/>
  <c r="L26" i="1"/>
  <c r="G26" i="1"/>
  <c r="L36" i="9"/>
  <c r="L37" i="9"/>
  <c r="J36" i="2"/>
  <c r="C36" i="2"/>
  <c r="F28" i="1"/>
  <c r="J26" i="1"/>
  <c r="E37" i="9"/>
  <c r="K37" i="9"/>
  <c r="G37" i="9"/>
  <c r="B37" i="9"/>
  <c r="E36" i="2"/>
  <c r="I36" i="2"/>
  <c r="E38" i="2"/>
  <c r="B36" i="2"/>
  <c r="N7" i="1"/>
  <c r="F15" i="1"/>
  <c r="G27" i="1"/>
  <c r="H27" i="1"/>
  <c r="M27" i="1"/>
  <c r="E27" i="1"/>
  <c r="H35" i="2"/>
  <c r="D35" i="2"/>
  <c r="J36" i="9"/>
  <c r="D36" i="9"/>
  <c r="E36" i="9"/>
  <c r="K36" i="9"/>
  <c r="L25" i="1"/>
  <c r="G25" i="1"/>
  <c r="C35" i="2"/>
  <c r="J34" i="2"/>
  <c r="J35" i="2"/>
  <c r="J25" i="1"/>
  <c r="B35" i="2"/>
  <c r="E35" i="2"/>
  <c r="I35" i="2"/>
  <c r="I35" i="9"/>
  <c r="B36" i="9"/>
  <c r="K47" i="3"/>
  <c r="M46" i="3"/>
  <c r="D8" i="1"/>
  <c r="D34" i="2"/>
  <c r="H34" i="2"/>
  <c r="L24" i="1"/>
  <c r="L27" i="1"/>
  <c r="G24" i="1"/>
  <c r="J35" i="9"/>
  <c r="D35" i="9"/>
  <c r="E35" i="9"/>
  <c r="K35" i="9"/>
  <c r="L35" i="9"/>
  <c r="C34" i="2"/>
  <c r="J24" i="1"/>
  <c r="J27" i="1"/>
  <c r="B34" i="2"/>
  <c r="E34" i="2"/>
  <c r="I34" i="9"/>
  <c r="B35" i="9"/>
  <c r="J29" i="9"/>
  <c r="J28" i="9"/>
  <c r="J27" i="9"/>
  <c r="J23" i="9"/>
  <c r="J22" i="9"/>
  <c r="J21" i="9"/>
  <c r="J20" i="9"/>
  <c r="J19" i="9"/>
  <c r="J18" i="9"/>
  <c r="J17" i="9"/>
  <c r="J16" i="9"/>
  <c r="J15" i="9"/>
  <c r="J14" i="9"/>
  <c r="J13" i="9"/>
  <c r="J12" i="9"/>
  <c r="G16" i="9"/>
  <c r="I16" i="9"/>
  <c r="D29" i="9"/>
  <c r="D28" i="9"/>
  <c r="D27" i="9"/>
  <c r="E27" i="9"/>
  <c r="K27" i="9"/>
  <c r="D23" i="9"/>
  <c r="D22" i="9"/>
  <c r="D21" i="9"/>
  <c r="D20" i="9"/>
  <c r="D19" i="9"/>
  <c r="E19" i="9"/>
  <c r="K19" i="9"/>
  <c r="G19" i="9"/>
  <c r="I19" i="9"/>
  <c r="D18" i="9"/>
  <c r="D17" i="9"/>
  <c r="E17" i="9"/>
  <c r="K17" i="9"/>
  <c r="D16" i="9"/>
  <c r="D15" i="9"/>
  <c r="D14" i="9"/>
  <c r="D13" i="9"/>
  <c r="D12" i="9"/>
  <c r="J34" i="9"/>
  <c r="D34" i="9"/>
  <c r="H33" i="2"/>
  <c r="H32" i="2"/>
  <c r="H31" i="2"/>
  <c r="H30" i="2"/>
  <c r="H29" i="2"/>
  <c r="H28" i="2"/>
  <c r="H27" i="2"/>
  <c r="H26" i="2"/>
  <c r="H22" i="2"/>
  <c r="H21" i="2"/>
  <c r="H20" i="2"/>
  <c r="H19" i="2"/>
  <c r="H18" i="2"/>
  <c r="H17" i="2"/>
  <c r="H16" i="2"/>
  <c r="H15" i="2"/>
  <c r="H14" i="2"/>
  <c r="H13" i="2"/>
  <c r="H12" i="2"/>
  <c r="H11" i="2"/>
  <c r="D32" i="2"/>
  <c r="D31" i="2"/>
  <c r="D30" i="2"/>
  <c r="E30" i="2"/>
  <c r="I30" i="2"/>
  <c r="G30" i="2"/>
  <c r="D29" i="2"/>
  <c r="E29" i="2"/>
  <c r="I29" i="2"/>
  <c r="G29" i="2"/>
  <c r="D28" i="2"/>
  <c r="E28" i="2"/>
  <c r="I28" i="2"/>
  <c r="G28" i="2"/>
  <c r="D27" i="2"/>
  <c r="E27" i="2"/>
  <c r="I27" i="2"/>
  <c r="D26" i="2"/>
  <c r="E26" i="2"/>
  <c r="I26" i="2"/>
  <c r="D22" i="2"/>
  <c r="D21" i="2"/>
  <c r="D20" i="2"/>
  <c r="D19" i="2"/>
  <c r="E19" i="2"/>
  <c r="I19" i="2"/>
  <c r="G19" i="2"/>
  <c r="D18" i="2"/>
  <c r="D17" i="2"/>
  <c r="E17" i="2"/>
  <c r="I17" i="2"/>
  <c r="G17" i="2"/>
  <c r="D16" i="2"/>
  <c r="E16" i="2"/>
  <c r="I16" i="2"/>
  <c r="G16" i="2"/>
  <c r="D15" i="2"/>
  <c r="E15" i="2"/>
  <c r="I15" i="2"/>
  <c r="D14" i="2"/>
  <c r="D13" i="2"/>
  <c r="D12" i="2"/>
  <c r="D11" i="2"/>
  <c r="D33" i="2"/>
  <c r="L22" i="1"/>
  <c r="L16" i="1"/>
  <c r="L14" i="1"/>
  <c r="L13" i="1"/>
  <c r="L12" i="1"/>
  <c r="L15" i="1"/>
  <c r="G16" i="1"/>
  <c r="G19" i="1"/>
  <c r="G14" i="1"/>
  <c r="G13" i="1"/>
  <c r="G12" i="1"/>
  <c r="G22" i="1"/>
  <c r="I33" i="9"/>
  <c r="L34" i="9"/>
  <c r="C33" i="2"/>
  <c r="J33" i="2"/>
  <c r="B34" i="9"/>
  <c r="E34" i="9"/>
  <c r="K34" i="9"/>
  <c r="B33" i="2"/>
  <c r="E33" i="2"/>
  <c r="I33" i="2"/>
  <c r="J22" i="1"/>
  <c r="E23" i="1"/>
  <c r="D33" i="9"/>
  <c r="J33" i="9"/>
  <c r="G21" i="1"/>
  <c r="L21" i="1"/>
  <c r="L33" i="9"/>
  <c r="J32" i="2"/>
  <c r="C32" i="2"/>
  <c r="J21" i="1"/>
  <c r="I32" i="9"/>
  <c r="E33" i="9"/>
  <c r="K33" i="9"/>
  <c r="B33" i="9"/>
  <c r="E31" i="2"/>
  <c r="I31" i="2"/>
  <c r="G31" i="2"/>
  <c r="D32" i="9"/>
  <c r="J32" i="9"/>
  <c r="G20" i="1"/>
  <c r="G23" i="1"/>
  <c r="H23" i="1"/>
  <c r="M23" i="1"/>
  <c r="K23" i="1"/>
  <c r="L20" i="1"/>
  <c r="L23" i="1"/>
  <c r="E48" i="3"/>
  <c r="H48" i="3"/>
  <c r="N48" i="3" s="1"/>
  <c r="L48" i="3" s="1"/>
  <c r="D48" i="3"/>
  <c r="B35" i="3"/>
  <c r="E35" i="3"/>
  <c r="I35" i="3"/>
  <c r="G35" i="3" s="1"/>
  <c r="B22" i="3"/>
  <c r="E22" i="3"/>
  <c r="I22" i="3" s="1"/>
  <c r="G22" i="3" s="1"/>
  <c r="B9" i="3"/>
  <c r="E9" i="3"/>
  <c r="J9" i="3"/>
  <c r="I9" i="3" s="1"/>
  <c r="B9" i="9"/>
  <c r="E9" i="9"/>
  <c r="K9" i="9"/>
  <c r="G9" i="9"/>
  <c r="I9" i="9"/>
  <c r="B8" i="2"/>
  <c r="E8" i="2"/>
  <c r="I8" i="2"/>
  <c r="G8" i="2"/>
  <c r="E8" i="1"/>
  <c r="H8" i="1"/>
  <c r="M8" i="1" s="1"/>
  <c r="K8" i="1" s="1"/>
  <c r="J20" i="1"/>
  <c r="J23" i="1"/>
  <c r="L32" i="9"/>
  <c r="J31" i="2"/>
  <c r="B32" i="2"/>
  <c r="E32" i="2"/>
  <c r="I32" i="2"/>
  <c r="G32" i="2"/>
  <c r="C31" i="2"/>
  <c r="B32" i="9"/>
  <c r="E32" i="9"/>
  <c r="K32" i="9"/>
  <c r="J31" i="9"/>
  <c r="D31" i="9"/>
  <c r="G18" i="1"/>
  <c r="L18" i="1"/>
  <c r="L31" i="9"/>
  <c r="L30" i="9"/>
  <c r="J30" i="2"/>
  <c r="B31" i="2"/>
  <c r="J29" i="2"/>
  <c r="B30" i="2"/>
  <c r="C29" i="2"/>
  <c r="C30" i="2"/>
  <c r="J17" i="1"/>
  <c r="J18" i="1"/>
  <c r="B31" i="9"/>
  <c r="E31" i="9"/>
  <c r="K31" i="9"/>
  <c r="G31" i="9"/>
  <c r="I31" i="9"/>
  <c r="E19" i="1"/>
  <c r="H19" i="1"/>
  <c r="M19" i="1"/>
  <c r="D30" i="9"/>
  <c r="J30" i="9"/>
  <c r="L17" i="1"/>
  <c r="G17" i="1"/>
  <c r="L29" i="9"/>
  <c r="L28" i="9"/>
  <c r="L27" i="9"/>
  <c r="B28" i="9"/>
  <c r="E28" i="9"/>
  <c r="K28" i="9"/>
  <c r="G28" i="9"/>
  <c r="I28" i="9"/>
  <c r="L23" i="9"/>
  <c r="B27" i="9"/>
  <c r="L22" i="9"/>
  <c r="L21" i="9"/>
  <c r="B22" i="9"/>
  <c r="E22" i="9"/>
  <c r="K22" i="9"/>
  <c r="G22" i="9"/>
  <c r="I22" i="9"/>
  <c r="L20" i="9"/>
  <c r="L19" i="9"/>
  <c r="L18" i="9"/>
  <c r="B19" i="9"/>
  <c r="L17" i="9"/>
  <c r="L16" i="9"/>
  <c r="L15" i="9"/>
  <c r="B20" i="9"/>
  <c r="E20" i="9"/>
  <c r="K20" i="9"/>
  <c r="J28" i="2"/>
  <c r="J27" i="2"/>
  <c r="B28" i="2"/>
  <c r="J26" i="2"/>
  <c r="J22" i="2"/>
  <c r="B26" i="2"/>
  <c r="J21" i="2"/>
  <c r="B22" i="2"/>
  <c r="E22" i="2"/>
  <c r="I22" i="2"/>
  <c r="G22" i="2"/>
  <c r="J20" i="2"/>
  <c r="B21" i="2"/>
  <c r="E21" i="2"/>
  <c r="I21" i="2"/>
  <c r="G21" i="2"/>
  <c r="J19" i="2"/>
  <c r="B20" i="2"/>
  <c r="E20" i="2"/>
  <c r="I20" i="2"/>
  <c r="G20" i="2"/>
  <c r="J18" i="2"/>
  <c r="B19" i="2"/>
  <c r="J17" i="2"/>
  <c r="B18" i="2"/>
  <c r="E18" i="2"/>
  <c r="I18" i="2"/>
  <c r="G18" i="2"/>
  <c r="J16" i="2"/>
  <c r="J15" i="2"/>
  <c r="J14" i="2"/>
  <c r="B15" i="2"/>
  <c r="C28" i="2"/>
  <c r="C27" i="2"/>
  <c r="C26" i="2"/>
  <c r="C22" i="2"/>
  <c r="C21" i="2"/>
  <c r="C20" i="2"/>
  <c r="C19" i="2"/>
  <c r="C18" i="2"/>
  <c r="C17" i="2"/>
  <c r="C16" i="2"/>
  <c r="C15" i="2"/>
  <c r="C14" i="2"/>
  <c r="J16" i="1"/>
  <c r="J19" i="1"/>
  <c r="B29" i="2"/>
  <c r="B30" i="9"/>
  <c r="E30" i="9"/>
  <c r="K30" i="9"/>
  <c r="G30" i="9"/>
  <c r="I30" i="9"/>
  <c r="B38" i="6"/>
  <c r="B37" i="5"/>
  <c r="B37" i="4"/>
  <c r="E47" i="3"/>
  <c r="H47" i="3"/>
  <c r="N47" i="3"/>
  <c r="L47" i="3"/>
  <c r="D47" i="3"/>
  <c r="K46" i="3"/>
  <c r="G46" i="3"/>
  <c r="H46" i="3"/>
  <c r="N46" i="3"/>
  <c r="L46" i="3"/>
  <c r="D46" i="3"/>
  <c r="B34" i="3"/>
  <c r="E34" i="3"/>
  <c r="I34" i="3"/>
  <c r="G34" i="3"/>
  <c r="E33" i="3"/>
  <c r="I33" i="3"/>
  <c r="G33" i="3"/>
  <c r="B21" i="3"/>
  <c r="E21" i="3"/>
  <c r="I21" i="3"/>
  <c r="G21" i="3"/>
  <c r="E20" i="3"/>
  <c r="I20" i="3"/>
  <c r="G20" i="3"/>
  <c r="B8" i="3"/>
  <c r="E8" i="3"/>
  <c r="J8" i="3"/>
  <c r="I8" i="3"/>
  <c r="E7" i="3"/>
  <c r="J7" i="3"/>
  <c r="I7" i="3"/>
  <c r="B42" i="9"/>
  <c r="B29" i="9"/>
  <c r="E29" i="9"/>
  <c r="K29" i="9"/>
  <c r="G29" i="9"/>
  <c r="I29" i="9"/>
  <c r="H24" i="9"/>
  <c r="C24" i="9"/>
  <c r="C7" i="9"/>
  <c r="B23" i="9"/>
  <c r="E23" i="9"/>
  <c r="K23" i="9"/>
  <c r="B21" i="9"/>
  <c r="E21" i="9"/>
  <c r="K21" i="9"/>
  <c r="B18" i="9"/>
  <c r="E18" i="9"/>
  <c r="K18" i="9"/>
  <c r="G18" i="9"/>
  <c r="I18" i="9"/>
  <c r="B17" i="9"/>
  <c r="B16" i="9"/>
  <c r="E16" i="9"/>
  <c r="K16" i="9"/>
  <c r="L14" i="9"/>
  <c r="B15" i="9"/>
  <c r="E15" i="9"/>
  <c r="K15" i="9"/>
  <c r="L13" i="9"/>
  <c r="B14" i="9"/>
  <c r="E14" i="9"/>
  <c r="K14" i="9"/>
  <c r="G14" i="9"/>
  <c r="I14" i="9"/>
  <c r="L12" i="9"/>
  <c r="B13" i="9"/>
  <c r="E13" i="9"/>
  <c r="K13" i="9"/>
  <c r="B12" i="9"/>
  <c r="E12" i="9"/>
  <c r="K12" i="9"/>
  <c r="G12" i="9"/>
  <c r="I12" i="9"/>
  <c r="B41" i="2"/>
  <c r="B27" i="2"/>
  <c r="H23" i="2"/>
  <c r="H6" i="2"/>
  <c r="B17" i="2"/>
  <c r="B16" i="2"/>
  <c r="J13" i="2"/>
  <c r="B14" i="2"/>
  <c r="E14" i="2"/>
  <c r="I14" i="2"/>
  <c r="G14" i="2"/>
  <c r="C13" i="2"/>
  <c r="J12" i="2"/>
  <c r="B13" i="2"/>
  <c r="E13" i="2"/>
  <c r="I13" i="2"/>
  <c r="G13" i="2"/>
  <c r="C12" i="2"/>
  <c r="C23" i="2"/>
  <c r="J11" i="2"/>
  <c r="B12" i="2"/>
  <c r="E12" i="2"/>
  <c r="I12" i="2"/>
  <c r="G12" i="2"/>
  <c r="C11" i="2"/>
  <c r="B11" i="2"/>
  <c r="B35" i="1"/>
  <c r="L19" i="1"/>
  <c r="J14" i="1"/>
  <c r="J13" i="1"/>
  <c r="J12" i="1"/>
  <c r="J15" i="1"/>
  <c r="G15" i="1"/>
  <c r="H15" i="1"/>
  <c r="M15" i="1"/>
  <c r="F7" i="1"/>
  <c r="D7" i="1"/>
  <c r="H7" i="9"/>
  <c r="J6" i="2"/>
  <c r="B7" i="2"/>
  <c r="L7" i="9"/>
  <c r="B8" i="9"/>
  <c r="E7" i="1"/>
  <c r="A5" i="10"/>
  <c r="D6" i="1"/>
  <c r="B52" i="3"/>
  <c r="G32" i="9"/>
  <c r="G33" i="9"/>
  <c r="C6" i="2"/>
  <c r="E11" i="2"/>
  <c r="I11" i="2"/>
  <c r="G11" i="2"/>
  <c r="G27" i="2"/>
  <c r="G26" i="2"/>
  <c r="G15" i="2"/>
  <c r="G23" i="2"/>
  <c r="I23" i="2"/>
  <c r="D23" i="2"/>
  <c r="G33" i="2"/>
  <c r="D6" i="2"/>
  <c r="E6" i="2"/>
  <c r="I6" i="2"/>
  <c r="G6" i="2"/>
  <c r="E23" i="2"/>
  <c r="H6" i="1"/>
  <c r="M6" i="1"/>
  <c r="K6" i="1"/>
  <c r="G34" i="9"/>
  <c r="G23" i="9"/>
  <c r="I23" i="9"/>
  <c r="G20" i="9"/>
  <c r="I20" i="9"/>
  <c r="G17" i="9"/>
  <c r="I17" i="9"/>
  <c r="G13" i="9"/>
  <c r="I13" i="9"/>
  <c r="J24" i="9"/>
  <c r="J7" i="9"/>
  <c r="G21" i="9"/>
  <c r="I21" i="9"/>
  <c r="G27" i="9"/>
  <c r="D24" i="9"/>
  <c r="D7" i="9"/>
  <c r="E7" i="9"/>
  <c r="K7" i="9"/>
  <c r="G15" i="9"/>
  <c r="K24" i="9"/>
  <c r="G7" i="9"/>
  <c r="I7" i="9"/>
  <c r="I27" i="9"/>
  <c r="E24" i="9"/>
  <c r="G24" i="9"/>
  <c r="I15" i="9"/>
  <c r="I24" i="9"/>
  <c r="I34" i="2"/>
  <c r="G34" i="2"/>
  <c r="G35" i="9"/>
  <c r="G35" i="2"/>
  <c r="G36" i="9"/>
  <c r="I36" i="9"/>
  <c r="E39" i="9"/>
  <c r="G36" i="2"/>
  <c r="G28" i="1"/>
  <c r="G7" i="1"/>
  <c r="H7" i="1"/>
  <c r="M7" i="1"/>
  <c r="K7" i="1"/>
  <c r="L28" i="1"/>
  <c r="L7" i="1"/>
  <c r="J28" i="1"/>
  <c r="J7" i="1"/>
  <c r="K19" i="1"/>
  <c r="K27" i="1"/>
  <c r="M28" i="1"/>
  <c r="K15" i="1"/>
  <c r="K28" i="1"/>
  <c r="H28" i="1"/>
  <c r="I38" i="2"/>
  <c r="G8" i="9"/>
  <c r="I8" i="9"/>
  <c r="G38" i="9"/>
  <c r="G39" i="9"/>
  <c r="K39" i="9"/>
  <c r="G7" i="2"/>
</calcChain>
</file>

<file path=xl/sharedStrings.xml><?xml version="1.0" encoding="utf-8"?>
<sst xmlns="http://schemas.openxmlformats.org/spreadsheetml/2006/main" count="510" uniqueCount="212">
  <si>
    <t xml:space="preserve">          Supply</t>
  </si>
  <si>
    <t>Production</t>
  </si>
  <si>
    <t>Imports</t>
  </si>
  <si>
    <t>Total</t>
  </si>
  <si>
    <t>Exports</t>
  </si>
  <si>
    <t>residual</t>
  </si>
  <si>
    <t>Ending</t>
  </si>
  <si>
    <t>stocks</t>
  </si>
  <si>
    <t>Beginning</t>
  </si>
  <si>
    <t>Domestic</t>
  </si>
  <si>
    <t>NA</t>
  </si>
  <si>
    <t>Table 4--Cottonseed:  U.S. supply and disappearance</t>
  </si>
  <si>
    <t>Table 5--Cottonseed meal:  U.S. supply and disappearance</t>
  </si>
  <si>
    <t>Table 6--Cottonseed oil:  U.S. supply and disappearance</t>
  </si>
  <si>
    <t>Table 7--Peanuts:  U.S. supply and disappearance</t>
  </si>
  <si>
    <t>Marketing</t>
  </si>
  <si>
    <t>year</t>
  </si>
  <si>
    <t>Cottonseed</t>
  </si>
  <si>
    <t xml:space="preserve">     1,000 short tons</t>
  </si>
  <si>
    <t xml:space="preserve">  1,000 short tons</t>
  </si>
  <si>
    <t xml:space="preserve">     Million pounds</t>
  </si>
  <si>
    <t xml:space="preserve">      Million pounds</t>
  </si>
  <si>
    <t>Table 9--U.S. vegetable oil and fats prices</t>
  </si>
  <si>
    <t>Table 2--Soybean meal:  U.S. supply and disappearance</t>
  </si>
  <si>
    <t>Disappearance</t>
  </si>
  <si>
    <t>Table 3--Soybean oil:  U.S. supply and disappearance</t>
  </si>
  <si>
    <t>Last update:</t>
  </si>
  <si>
    <t>Area</t>
  </si>
  <si>
    <t>Planted</t>
  </si>
  <si>
    <t>Harvested</t>
  </si>
  <si>
    <t>Yield</t>
  </si>
  <si>
    <t xml:space="preserve">Exports  </t>
  </si>
  <si>
    <t xml:space="preserve">Total  </t>
  </si>
  <si>
    <t xml:space="preserve">stocks </t>
  </si>
  <si>
    <t xml:space="preserve">Ending </t>
  </si>
  <si>
    <t xml:space="preserve">Domestic </t>
  </si>
  <si>
    <t xml:space="preserve">Beginning </t>
  </si>
  <si>
    <t xml:space="preserve">Imports </t>
  </si>
  <si>
    <t xml:space="preserve">Total </t>
  </si>
  <si>
    <t xml:space="preserve">Exports </t>
  </si>
  <si>
    <t xml:space="preserve">Crush </t>
  </si>
  <si>
    <t xml:space="preserve">Other </t>
  </si>
  <si>
    <t xml:space="preserve">food </t>
  </si>
  <si>
    <t xml:space="preserve">Table 10--U.S. oilseed meal prices </t>
  </si>
  <si>
    <t xml:space="preserve">Soybean </t>
  </si>
  <si>
    <t xml:space="preserve">Peanut </t>
  </si>
  <si>
    <t xml:space="preserve">Canola  </t>
  </si>
  <si>
    <t xml:space="preserve">Linseed </t>
  </si>
  <si>
    <t xml:space="preserve">Edible  </t>
  </si>
  <si>
    <t xml:space="preserve">Corn  </t>
  </si>
  <si>
    <t xml:space="preserve">$/cwt. </t>
  </si>
  <si>
    <t>Table 8--Oilseed prices received by U.S. farmers</t>
  </si>
  <si>
    <t>Canola</t>
  </si>
  <si>
    <t>2008/09</t>
  </si>
  <si>
    <t xml:space="preserve">stocks  </t>
  </si>
  <si>
    <t>2009/10</t>
  </si>
  <si>
    <t>2010/11</t>
  </si>
  <si>
    <t>NA = Not available.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</si>
  <si>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</si>
  <si>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</si>
  <si>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</si>
  <si>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</si>
  <si>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</si>
  <si>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</si>
  <si>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</si>
  <si>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</si>
  <si>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</si>
  <si>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2011/12</t>
  </si>
  <si>
    <t>July</t>
  </si>
  <si>
    <t>August</t>
  </si>
  <si>
    <t>Use</t>
  </si>
  <si>
    <t>September</t>
  </si>
  <si>
    <t>Crush</t>
  </si>
  <si>
    <t>Table 1--Soybeans:  Annual U.S. supply and disappearance</t>
  </si>
  <si>
    <t>Soybeans:  Quarterly U.S. supply and disappearance</t>
  </si>
  <si>
    <t>Bu./acre</t>
  </si>
  <si>
    <t>Cents/pound</t>
  </si>
  <si>
    <t xml:space="preserve">$/bushel </t>
  </si>
  <si>
    <t>Foreign Trade Statistics.</t>
  </si>
  <si>
    <t>Pounds/acre</t>
  </si>
  <si>
    <t xml:space="preserve">  September-November</t>
  </si>
  <si>
    <t xml:space="preserve">  December-February</t>
  </si>
  <si>
    <t xml:space="preserve">  March-May</t>
  </si>
  <si>
    <t xml:space="preserve">  June-August</t>
  </si>
  <si>
    <t>Year beginning</t>
  </si>
  <si>
    <t>October 1</t>
  </si>
  <si>
    <t>August 1</t>
  </si>
  <si>
    <t xml:space="preserve">$/short ton  </t>
  </si>
  <si>
    <t>September 1</t>
  </si>
  <si>
    <t>Sunflowerseed</t>
  </si>
  <si>
    <t>NA= Not available.</t>
  </si>
  <si>
    <t>2012/13</t>
  </si>
  <si>
    <t>Supply</t>
  </si>
  <si>
    <t>Million acres</t>
  </si>
  <si>
    <t>1,000 acres</t>
  </si>
  <si>
    <t>--------------------------------------------------Million bushels--------------------------------------------------</t>
  </si>
  <si>
    <t xml:space="preserve">  Total  </t>
  </si>
  <si>
    <t xml:space="preserve"> stocks </t>
  </si>
  <si>
    <t>Biodiesel</t>
  </si>
  <si>
    <t>2013/14</t>
  </si>
  <si>
    <t>Seed and</t>
  </si>
  <si>
    <t>Seed &amp;</t>
  </si>
  <si>
    <t>2014/15</t>
  </si>
  <si>
    <t>2015/16</t>
  </si>
  <si>
    <t xml:space="preserve">  September</t>
  </si>
  <si>
    <t xml:space="preserve">     -------------------------------------------- 1,000 short tons--------------------------------------------</t>
  </si>
  <si>
    <t xml:space="preserve">$/cwt </t>
  </si>
  <si>
    <t>cwt=hundredweight.</t>
  </si>
  <si>
    <t>------------------------------------------------------- Cents/ pound----------------------------------------------</t>
  </si>
  <si>
    <t>--------------------------------------------------- $/short ton------------------------------------------</t>
  </si>
  <si>
    <t xml:space="preserve">  October</t>
  </si>
  <si>
    <t>Million pounds</t>
  </si>
  <si>
    <t xml:space="preserve">  November</t>
  </si>
  <si>
    <t xml:space="preserve">  December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</si>
  <si>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</si>
  <si>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</si>
  <si>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</si>
  <si>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</si>
  <si>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</si>
  <si>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>2016/17</t>
  </si>
  <si>
    <t>Food &amp; Other</t>
  </si>
  <si>
    <t>2017/18</t>
  </si>
  <si>
    <t>Oil Crops Outlook Tables</t>
  </si>
  <si>
    <t>Last update</t>
  </si>
  <si>
    <t xml:space="preserve">Contacts: Mark Ash at mash@ers.usda.gov   </t>
  </si>
  <si>
    <t xml:space="preserve">and Mariana Matias at mariana.matias@ers.usda.gov </t>
  </si>
  <si>
    <r>
      <t>2016/17</t>
    </r>
    <r>
      <rPr>
        <vertAlign val="superscript"/>
        <sz val="11"/>
        <rFont val="Arial"/>
        <family val="2"/>
      </rPr>
      <t>1</t>
    </r>
  </si>
  <si>
    <r>
      <t>2017/18</t>
    </r>
    <r>
      <rPr>
        <vertAlign val="superscript"/>
        <sz val="11"/>
        <rFont val="Arial"/>
        <family val="2"/>
      </rPr>
      <t>2</t>
    </r>
  </si>
  <si>
    <r>
      <t>1</t>
    </r>
    <r>
      <rPr>
        <sz val="11"/>
        <rFont val="Arial"/>
        <family val="2"/>
      </rPr>
      <t xml:space="preserve"> Estimated.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 Note: 1 metric ton equals 36.744 bushels and 1 acre equals 2.471 hectares.</t>
    </r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</si>
  <si>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Grain Stocks </t>
    </r>
    <r>
      <rPr>
        <sz val="11"/>
        <rFont val="Arial"/>
        <family val="2"/>
      </rPr>
      <t>and U.S. Department of Commerce, U.S. Census Bureau,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</si>
  <si>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 Note: 1 metric ton equals 1.10231 short tons.</t>
    </r>
  </si>
  <si>
    <r>
      <t xml:space="preserve">Source: USDA, World Agricultural Outlook Board, </t>
    </r>
    <r>
      <rPr>
        <i/>
        <sz val="11"/>
        <rFont val="Arial"/>
        <family val="2"/>
      </rPr>
      <t>World Agricultural Supply and Demand Estimates.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</si>
  <si>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 Note: 1 metric ton equals 2,204.622 pounds. NA: Not available.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</si>
  <si>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</si>
  <si>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>Sources: USDA</t>
    </r>
    <r>
      <rPr>
        <i/>
        <sz val="11"/>
        <rFont val="Arial"/>
        <family val="2"/>
      </rPr>
      <t>,</t>
    </r>
    <r>
      <rPr>
        <sz val="11"/>
        <rFont val="Arial"/>
        <family val="2"/>
      </rPr>
      <t xml:space="preserve"> National Agricultural Statistics Service,</t>
    </r>
    <r>
      <rPr>
        <i/>
        <sz val="11"/>
        <rFont val="Arial"/>
        <family val="2"/>
      </rPr>
      <t xml:space="preserve"> Crop Production </t>
    </r>
    <r>
      <rPr>
        <sz val="11"/>
        <rFont val="Arial"/>
        <family val="2"/>
      </rPr>
      <t>and U.S. Department of Commerce,</t>
    </r>
  </si>
  <si>
    <r>
      <t xml:space="preserve">U.S. Census Bureau, </t>
    </r>
    <r>
      <rPr>
        <i/>
        <sz val="11"/>
        <rFont val="Arial"/>
        <family val="2"/>
      </rPr>
      <t>Foreign Trade Statistics.</t>
    </r>
  </si>
  <si>
    <r>
      <t xml:space="preserve">Source:  USDA, Foreign Agricultural Service, </t>
    </r>
    <r>
      <rPr>
        <i/>
        <sz val="11"/>
        <rFont val="Arial"/>
        <family val="2"/>
      </rPr>
      <t>PS&amp;D Online.</t>
    </r>
  </si>
  <si>
    <r>
      <t>Source:  USDA, Foreign Agricultural Service, Production, Supply, and Distribution Online</t>
    </r>
    <r>
      <rPr>
        <i/>
        <sz val="11"/>
        <rFont val="Arial"/>
        <family val="2"/>
      </rPr>
      <t>.</t>
    </r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</si>
  <si>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>Peanut Stocks and Processing,</t>
    </r>
    <r>
      <rPr>
        <sz val="11"/>
        <rFont val="Arial"/>
        <family val="2"/>
      </rPr>
      <t>and U.S. Department of Commerce,</t>
    </r>
  </si>
  <si>
    <r>
      <t>Soybeans</t>
    </r>
    <r>
      <rPr>
        <vertAlign val="superscript"/>
        <sz val="11"/>
        <rFont val="Arial"/>
        <family val="2"/>
      </rPr>
      <t>1</t>
    </r>
  </si>
  <si>
    <r>
      <t>Cottonseed</t>
    </r>
    <r>
      <rPr>
        <vertAlign val="superscript"/>
        <sz val="11"/>
        <rFont val="Arial"/>
        <family val="2"/>
      </rPr>
      <t>2</t>
    </r>
  </si>
  <si>
    <r>
      <t>Sunflowerseed</t>
    </r>
    <r>
      <rPr>
        <vertAlign val="superscript"/>
        <sz val="11"/>
        <rFont val="Arial"/>
        <family val="2"/>
      </rPr>
      <t>1</t>
    </r>
  </si>
  <si>
    <r>
      <t>Canola</t>
    </r>
    <r>
      <rPr>
        <vertAlign val="superscript"/>
        <sz val="11"/>
        <rFont val="Arial"/>
        <family val="2"/>
      </rPr>
      <t>1</t>
    </r>
  </si>
  <si>
    <r>
      <t>Peanuts</t>
    </r>
    <r>
      <rPr>
        <vertAlign val="superscript"/>
        <sz val="11"/>
        <rFont val="Arial"/>
        <family val="2"/>
      </rPr>
      <t>2</t>
    </r>
  </si>
  <si>
    <r>
      <t>Flaxseed</t>
    </r>
    <r>
      <rPr>
        <vertAlign val="superscript"/>
        <sz val="11"/>
        <rFont val="Arial"/>
        <family val="2"/>
      </rPr>
      <t>3</t>
    </r>
  </si>
  <si>
    <r>
      <t>2017/18</t>
    </r>
    <r>
      <rPr>
        <vertAlign val="superscript"/>
        <sz val="11"/>
        <rFont val="Arial"/>
        <family val="2"/>
      </rPr>
      <t>1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</si>
  <si>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September-August.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August-July.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July-June.</t>
    </r>
  </si>
  <si>
    <r>
      <t xml:space="preserve">Source: USDA, National Agricultural Statistics Service, </t>
    </r>
    <r>
      <rPr>
        <i/>
        <sz val="11"/>
        <rFont val="Arial"/>
        <family val="2"/>
      </rPr>
      <t>Agricultural Prices.</t>
    </r>
    <r>
      <rPr>
        <sz val="11"/>
        <rFont val="Arial"/>
        <family val="2"/>
      </rPr>
      <t xml:space="preserve">  </t>
    </r>
  </si>
  <si>
    <r>
      <t xml:space="preserve">Lard </t>
    </r>
    <r>
      <rPr>
        <vertAlign val="superscript"/>
        <sz val="11"/>
        <rFont val="Arial"/>
        <family val="2"/>
      </rPr>
      <t xml:space="preserve">6  </t>
    </r>
  </si>
  <si>
    <r>
      <t xml:space="preserve">oil </t>
    </r>
    <r>
      <rPr>
        <vertAlign val="superscript"/>
        <sz val="11"/>
        <rFont val="Arial"/>
        <family val="2"/>
      </rPr>
      <t xml:space="preserve">2   </t>
    </r>
  </si>
  <si>
    <r>
      <t xml:space="preserve">oil </t>
    </r>
    <r>
      <rPr>
        <vertAlign val="superscript"/>
        <sz val="11"/>
        <rFont val="Arial"/>
        <family val="2"/>
      </rPr>
      <t xml:space="preserve">3   </t>
    </r>
  </si>
  <si>
    <r>
      <t xml:space="preserve">oil </t>
    </r>
    <r>
      <rPr>
        <vertAlign val="superscript"/>
        <sz val="11"/>
        <rFont val="Arial"/>
        <family val="2"/>
      </rPr>
      <t xml:space="preserve">4   </t>
    </r>
  </si>
  <si>
    <r>
      <t xml:space="preserve">oil </t>
    </r>
    <r>
      <rPr>
        <vertAlign val="superscript"/>
        <sz val="11"/>
        <rFont val="Arial"/>
        <family val="2"/>
      </rPr>
      <t xml:space="preserve">5   </t>
    </r>
  </si>
  <si>
    <r>
      <t xml:space="preserve">oil </t>
    </r>
    <r>
      <rPr>
        <vertAlign val="superscript"/>
        <sz val="11"/>
        <rFont val="Arial"/>
        <family val="2"/>
      </rPr>
      <t xml:space="preserve">6   </t>
    </r>
  </si>
  <si>
    <r>
      <t xml:space="preserve">tallow </t>
    </r>
    <r>
      <rPr>
        <vertAlign val="superscript"/>
        <sz val="11"/>
        <rFont val="Arial"/>
        <family val="2"/>
      </rPr>
      <t xml:space="preserve">6 </t>
    </r>
  </si>
  <si>
    <r>
      <t xml:space="preserve">Sources: USDA, Agricultural Marketing Service,  </t>
    </r>
    <r>
      <rPr>
        <i/>
        <sz val="11"/>
        <rFont val="Arial"/>
        <family val="2"/>
      </rPr>
      <t xml:space="preserve">Monthly Feedstuff Prices </t>
    </r>
    <r>
      <rPr>
        <sz val="11"/>
        <rFont val="Arial"/>
        <family val="2"/>
      </rPr>
      <t>and</t>
    </r>
    <r>
      <rPr>
        <i/>
        <sz val="11"/>
        <rFont val="Arial"/>
        <family val="2"/>
      </rPr>
      <t xml:space="preserve"> Milling and Baking News.</t>
    </r>
    <r>
      <rPr>
        <sz val="11"/>
        <rFont val="Arial"/>
        <family val="2"/>
      </rPr>
      <t xml:space="preserve"> </t>
    </r>
  </si>
  <si>
    <r>
      <t xml:space="preserve">meal </t>
    </r>
    <r>
      <rPr>
        <vertAlign val="superscript"/>
        <sz val="11"/>
        <rFont val="Arial"/>
        <family val="2"/>
      </rPr>
      <t xml:space="preserve">2  </t>
    </r>
  </si>
  <si>
    <r>
      <t xml:space="preserve">meal </t>
    </r>
    <r>
      <rPr>
        <vertAlign val="superscript"/>
        <sz val="11"/>
        <rFont val="Arial"/>
        <family val="2"/>
      </rPr>
      <t xml:space="preserve">3  </t>
    </r>
  </si>
  <si>
    <r>
      <t xml:space="preserve">meal </t>
    </r>
    <r>
      <rPr>
        <vertAlign val="superscript"/>
        <sz val="11"/>
        <rFont val="Arial"/>
        <family val="2"/>
      </rPr>
      <t xml:space="preserve">4  </t>
    </r>
  </si>
  <si>
    <r>
      <t xml:space="preserve">meal </t>
    </r>
    <r>
      <rPr>
        <vertAlign val="superscript"/>
        <sz val="11"/>
        <rFont val="Arial"/>
        <family val="2"/>
      </rPr>
      <t xml:space="preserve">5  </t>
    </r>
  </si>
  <si>
    <r>
      <t xml:space="preserve">meal </t>
    </r>
    <r>
      <rPr>
        <vertAlign val="superscript"/>
        <sz val="11"/>
        <rFont val="Arial"/>
        <family val="2"/>
      </rPr>
      <t xml:space="preserve">6  </t>
    </r>
  </si>
  <si>
    <r>
      <t xml:space="preserve">meal </t>
    </r>
    <r>
      <rPr>
        <vertAlign val="superscript"/>
        <sz val="11"/>
        <rFont val="Arial"/>
        <family val="2"/>
      </rPr>
      <t xml:space="preserve">7  </t>
    </r>
  </si>
  <si>
    <r>
      <t>5</t>
    </r>
    <r>
      <rPr>
        <sz val="11"/>
        <rFont val="Arial"/>
        <family val="2"/>
      </rPr>
      <t xml:space="preserve"> 50-percent Southeast mills. 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36-percent Pacific Northwest. 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34-percent Minneapolis. </t>
    </r>
  </si>
  <si>
    <r>
      <t xml:space="preserve">Source: USDA, Agricultural Marketing Service, </t>
    </r>
    <r>
      <rPr>
        <i/>
        <sz val="11"/>
        <rFont val="Arial"/>
        <family val="2"/>
      </rPr>
      <t>Monthly Feedstuff Prices.</t>
    </r>
    <r>
      <rPr>
        <sz val="11"/>
        <rFont val="Arial"/>
        <family val="2"/>
      </rPr>
      <t xml:space="preserve"> </t>
    </r>
  </si>
  <si>
    <r>
      <t>1</t>
    </r>
    <r>
      <rPr>
        <sz val="11"/>
        <rFont val="Arial"/>
        <family val="2"/>
      </rPr>
      <t xml:space="preserve"> Preliminary.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Decatur, IL. 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Prime bleached summer yellow, Greenwood, MS. 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Midwest. </t>
    </r>
    <r>
      <rPr>
        <vertAlign val="superscript"/>
        <sz val="11"/>
        <rFont val="Arial"/>
        <family val="2"/>
      </rPr>
      <t/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</si>
  <si>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Southeast mills.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Chicago.  NA = Not available.</t>
    </r>
  </si>
  <si>
    <r>
      <t>1</t>
    </r>
    <r>
      <rPr>
        <sz val="11"/>
        <rFont val="Arial"/>
        <family val="2"/>
      </rPr>
      <t xml:space="preserve"> Preliminary.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High-protein Decatur, IL.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41-percent Memphis.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34-percent North Dakota-Minnesota.</t>
    </r>
  </si>
  <si>
    <r>
      <t>2018/19</t>
    </r>
    <r>
      <rPr>
        <vertAlign val="superscript"/>
        <sz val="11"/>
        <rFont val="Arial"/>
        <family val="2"/>
      </rPr>
      <t>1</t>
    </r>
  </si>
  <si>
    <r>
      <t>2018/19</t>
    </r>
    <r>
      <rPr>
        <vertAlign val="superscript"/>
        <sz val="11"/>
        <rFont val="Arial"/>
        <family val="2"/>
      </rPr>
      <t>2</t>
    </r>
  </si>
  <si>
    <t>28.0-32.0</t>
  </si>
  <si>
    <t>30.0-34.0</t>
  </si>
  <si>
    <t>35.0-39.0</t>
  </si>
  <si>
    <t>57.0-61.0</t>
  </si>
  <si>
    <t>31.0-35.0</t>
  </si>
  <si>
    <t>115-155</t>
  </si>
  <si>
    <t>290-330</t>
  </si>
  <si>
    <t>240-280</t>
  </si>
  <si>
    <t>29.0-33.0</t>
  </si>
  <si>
    <t>210-250</t>
  </si>
  <si>
    <t>135-175</t>
  </si>
  <si>
    <t>195-235</t>
  </si>
  <si>
    <t>Million bushels</t>
  </si>
  <si>
    <t>2018/19</t>
  </si>
  <si>
    <t>52.0-56.0</t>
  </si>
  <si>
    <t>Million metric tons</t>
  </si>
  <si>
    <t>Soybean export</t>
  </si>
  <si>
    <t>sales</t>
  </si>
  <si>
    <t>China</t>
  </si>
  <si>
    <t>Rest of World</t>
  </si>
  <si>
    <t>consumption</t>
  </si>
  <si>
    <t>Soybean meal</t>
  </si>
  <si>
    <t xml:space="preserve">Other protein meals </t>
  </si>
  <si>
    <t>(soybean meal equivalent)</t>
  </si>
  <si>
    <t>5-year average</t>
  </si>
  <si>
    <t>U.S. soybeans</t>
  </si>
  <si>
    <t>harvested</t>
  </si>
  <si>
    <t>Percent</t>
  </si>
  <si>
    <t>7.60-9.60</t>
  </si>
  <si>
    <t>28.5-32.5</t>
  </si>
  <si>
    <t>19.85-23.15</t>
  </si>
  <si>
    <t>15.25-18.55</t>
  </si>
  <si>
    <t>14.85-18.15</t>
  </si>
  <si>
    <t>Sep 16</t>
  </si>
  <si>
    <t>Sep 23</t>
  </si>
  <si>
    <t>Sep 30</t>
  </si>
  <si>
    <t>Oct 7</t>
  </si>
  <si>
    <t>Oct 14</t>
  </si>
  <si>
    <t>Oct 21</t>
  </si>
  <si>
    <t>Oct 28</t>
  </si>
  <si>
    <t>Nov 4</t>
  </si>
  <si>
    <t>Nov 11</t>
  </si>
  <si>
    <t>8.35-10.35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</si>
</sst>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"/>
    <numFmt numFmtId="168" formatCode="0.00_)"/>
    <numFmt numFmtId="169" formatCode="#,##0.0_);\(#,##0.0\)"/>
    <numFmt numFmtId="170" formatCode="0.000"/>
    <numFmt numFmtId="171" formatCode="#,##0.0"/>
    <numFmt numFmtId="172" formatCode="[$-409]mmm\-yy;@"/>
    <numFmt numFmtId="173" formatCode="mmm\-yyyy"/>
    <numFmt numFmtId="174" formatCode="0.0_)"/>
    <numFmt numFmtId="175" formatCode="0.0000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8"/>
      <name val="Helvetica"/>
    </font>
    <font>
      <b/>
      <sz val="14"/>
      <name val="Helvetica"/>
    </font>
    <font>
      <u/>
      <sz val="8"/>
      <color indexed="12"/>
      <name val="Arial"/>
      <family val="2"/>
    </font>
    <font>
      <b/>
      <sz val="10"/>
      <name val="Helvetica"/>
    </font>
    <font>
      <u/>
      <sz val="8"/>
      <color indexed="12"/>
      <name val="Helvetic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1" quotePrefix="1" applyNumberFormat="1" applyFont="1" applyBorder="1" applyAlignment="1">
      <alignment horizontal="center"/>
    </xf>
    <xf numFmtId="164" fontId="0" fillId="0" borderId="0" xfId="1" quotePrefix="1" applyNumberFormat="1" applyFont="1" applyBorder="1"/>
    <xf numFmtId="43" fontId="0" fillId="0" borderId="0" xfId="1" applyFont="1"/>
    <xf numFmtId="43" fontId="0" fillId="0" borderId="0" xfId="1" applyNumberFormat="1" applyFont="1" applyBorder="1"/>
    <xf numFmtId="43" fontId="0" fillId="0" borderId="0" xfId="1" applyFont="1" applyBorder="1"/>
    <xf numFmtId="43" fontId="0" fillId="0" borderId="0" xfId="0" applyNumberFormat="1"/>
    <xf numFmtId="0" fontId="2" fillId="0" borderId="0" xfId="0" applyFont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0" xfId="0" applyNumberFormat="1"/>
    <xf numFmtId="0" fontId="5" fillId="0" borderId="0" xfId="0" applyFont="1"/>
    <xf numFmtId="0" fontId="0" fillId="0" borderId="0" xfId="0" applyProtection="1"/>
    <xf numFmtId="2" fontId="0" fillId="0" borderId="0" xfId="0" applyNumberFormat="1"/>
    <xf numFmtId="165" fontId="0" fillId="0" borderId="0" xfId="0" applyNumberFormat="1"/>
    <xf numFmtId="167" fontId="0" fillId="0" borderId="0" xfId="0" applyNumberFormat="1" applyProtection="1"/>
    <xf numFmtId="173" fontId="0" fillId="0" borderId="0" xfId="0" applyNumberFormat="1" applyProtection="1"/>
    <xf numFmtId="174" fontId="6" fillId="0" borderId="0" xfId="0" applyNumberFormat="1" applyFont="1" applyProtection="1"/>
    <xf numFmtId="165" fontId="0" fillId="0" borderId="0" xfId="1" applyNumberFormat="1" applyFont="1"/>
    <xf numFmtId="172" fontId="2" fillId="0" borderId="0" xfId="0" quotePrefix="1" applyNumberFormat="1" applyFont="1"/>
    <xf numFmtId="169" fontId="0" fillId="0" borderId="0" xfId="1" applyNumberFormat="1" applyFont="1"/>
    <xf numFmtId="171" fontId="5" fillId="0" borderId="0" xfId="1" applyNumberFormat="1" applyFont="1" applyBorder="1" applyAlignment="1">
      <alignment horizontal="center"/>
    </xf>
    <xf numFmtId="164" fontId="0" fillId="0" borderId="0" xfId="1" applyNumberFormat="1" applyFont="1"/>
    <xf numFmtId="0" fontId="2" fillId="0" borderId="0" xfId="8" applyFont="1" applyBorder="1" applyAlignment="1">
      <alignment vertical="top" wrapText="1"/>
    </xf>
    <xf numFmtId="0" fontId="2" fillId="0" borderId="0" xfId="8" applyFont="1"/>
    <xf numFmtId="0" fontId="8" fillId="0" borderId="0" xfId="7" applyFont="1" applyAlignment="1">
      <alignment horizontal="left"/>
    </xf>
    <xf numFmtId="0" fontId="9" fillId="0" borderId="0" xfId="5" applyFont="1" applyAlignment="1" applyProtection="1"/>
    <xf numFmtId="0" fontId="3" fillId="0" borderId="0" xfId="8" applyFont="1"/>
    <xf numFmtId="0" fontId="10" fillId="0" borderId="0" xfId="7" applyFont="1" applyAlignment="1">
      <alignment horizontal="left"/>
    </xf>
    <xf numFmtId="0" fontId="2" fillId="0" borderId="0" xfId="8" applyFont="1" applyFill="1"/>
    <xf numFmtId="0" fontId="2" fillId="0" borderId="0" xfId="8" quotePrefix="1" applyFont="1"/>
    <xf numFmtId="0" fontId="12" fillId="0" borderId="0" xfId="8" applyFont="1" applyFill="1"/>
    <xf numFmtId="0" fontId="2" fillId="0" borderId="0" xfId="8" applyFont="1" applyBorder="1" applyAlignment="1">
      <alignment wrapText="1"/>
    </xf>
    <xf numFmtId="0" fontId="13" fillId="0" borderId="0" xfId="8" applyFont="1"/>
    <xf numFmtId="0" fontId="7" fillId="0" borderId="0" xfId="7" quotePrefix="1" applyAlignment="1">
      <alignment horizontal="left"/>
    </xf>
    <xf numFmtId="0" fontId="4" fillId="0" borderId="0" xfId="4" applyAlignment="1" applyProtection="1"/>
    <xf numFmtId="14" fontId="10" fillId="0" borderId="0" xfId="7" applyNumberFormat="1" applyFont="1" applyAlignment="1">
      <alignment horizontal="left"/>
    </xf>
    <xf numFmtId="171" fontId="0" fillId="0" borderId="0" xfId="0" applyNumberFormat="1"/>
    <xf numFmtId="0" fontId="14" fillId="0" borderId="1" xfId="0" applyFont="1" applyBorder="1"/>
    <xf numFmtId="0" fontId="14" fillId="0" borderId="0" xfId="0" applyFont="1"/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/>
    <xf numFmtId="0" fontId="14" fillId="0" borderId="0" xfId="0" applyFont="1" applyAlignment="1">
      <alignment horizontal="right"/>
    </xf>
    <xf numFmtId="16" fontId="14" fillId="0" borderId="1" xfId="0" quotePrefix="1" applyNumberFormat="1" applyFont="1" applyBorder="1"/>
    <xf numFmtId="16" fontId="14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 indent="1"/>
    </xf>
    <xf numFmtId="0" fontId="15" fillId="0" borderId="0" xfId="0" quotePrefix="1" applyFont="1" applyAlignment="1">
      <alignment horizontal="right"/>
    </xf>
    <xf numFmtId="167" fontId="14" fillId="0" borderId="0" xfId="0" applyNumberFormat="1" applyFont="1" applyAlignment="1">
      <alignment horizontal="center"/>
    </xf>
    <xf numFmtId="165" fontId="14" fillId="0" borderId="0" xfId="1" applyNumberFormat="1" applyFont="1" applyAlignment="1">
      <alignment horizontal="left"/>
    </xf>
    <xf numFmtId="165" fontId="14" fillId="0" borderId="0" xfId="1" applyNumberFormat="1" applyFont="1" applyAlignment="1">
      <alignment horizontal="center"/>
    </xf>
    <xf numFmtId="3" fontId="14" fillId="0" borderId="0" xfId="1" applyNumberFormat="1" applyFont="1" applyBorder="1" applyAlignment="1">
      <alignment horizontal="right" indent="1"/>
    </xf>
    <xf numFmtId="165" fontId="14" fillId="0" borderId="0" xfId="1" applyNumberFormat="1" applyFont="1"/>
    <xf numFmtId="164" fontId="14" fillId="0" borderId="0" xfId="1" applyNumberFormat="1" applyFont="1" applyBorder="1"/>
    <xf numFmtId="164" fontId="14" fillId="0" borderId="0" xfId="1" applyNumberFormat="1" applyFont="1" applyBorder="1" applyAlignment="1">
      <alignment horizontal="right"/>
    </xf>
    <xf numFmtId="164" fontId="14" fillId="0" borderId="0" xfId="1" applyNumberFormat="1" applyFont="1" applyBorder="1" applyAlignment="1">
      <alignment horizontal="center"/>
    </xf>
    <xf numFmtId="0" fontId="15" fillId="0" borderId="3" xfId="0" quotePrefix="1" applyFont="1" applyBorder="1" applyAlignment="1"/>
    <xf numFmtId="164" fontId="14" fillId="0" borderId="0" xfId="1" quotePrefix="1" applyNumberFormat="1" applyFont="1" applyBorder="1" applyAlignment="1">
      <alignment horizontal="center"/>
    </xf>
    <xf numFmtId="171" fontId="14" fillId="0" borderId="0" xfId="1" applyNumberFormat="1" applyFont="1" applyBorder="1" applyAlignment="1">
      <alignment horizontal="right" indent="1"/>
    </xf>
    <xf numFmtId="171" fontId="14" fillId="0" borderId="0" xfId="1" applyNumberFormat="1" applyFont="1" applyBorder="1" applyAlignment="1">
      <alignment horizontal="right"/>
    </xf>
    <xf numFmtId="171" fontId="14" fillId="0" borderId="0" xfId="1" quotePrefix="1" applyNumberFormat="1" applyFont="1" applyBorder="1" applyAlignment="1">
      <alignment horizontal="right"/>
    </xf>
    <xf numFmtId="171" fontId="14" fillId="0" borderId="0" xfId="1" applyNumberFormat="1" applyFont="1" applyFill="1" applyBorder="1" applyAlignment="1">
      <alignment horizontal="right"/>
    </xf>
    <xf numFmtId="164" fontId="14" fillId="0" borderId="0" xfId="1" quotePrefix="1" applyNumberFormat="1" applyFont="1" applyAlignment="1">
      <alignment horizontal="center"/>
    </xf>
    <xf numFmtId="171" fontId="14" fillId="0" borderId="0" xfId="1" quotePrefix="1" applyNumberFormat="1" applyFont="1" applyAlignment="1">
      <alignment horizontal="right"/>
    </xf>
    <xf numFmtId="0" fontId="14" fillId="0" borderId="0" xfId="0" quotePrefix="1" applyFont="1"/>
    <xf numFmtId="164" fontId="14" fillId="0" borderId="1" xfId="1" applyNumberFormat="1" applyFont="1" applyBorder="1" applyAlignment="1">
      <alignment horizontal="center"/>
    </xf>
    <xf numFmtId="164" fontId="14" fillId="0" borderId="1" xfId="1" quotePrefix="1" applyNumberFormat="1" applyFont="1" applyBorder="1" applyAlignment="1">
      <alignment horizontal="center"/>
    </xf>
    <xf numFmtId="171" fontId="14" fillId="0" borderId="1" xfId="1" applyNumberFormat="1" applyFont="1" applyBorder="1" applyAlignment="1">
      <alignment horizontal="right" indent="1"/>
    </xf>
    <xf numFmtId="171" fontId="14" fillId="0" borderId="1" xfId="1" applyNumberFormat="1" applyFont="1" applyBorder="1" applyAlignment="1">
      <alignment horizontal="right"/>
    </xf>
    <xf numFmtId="171" fontId="14" fillId="0" borderId="1" xfId="1" quotePrefix="1" applyNumberFormat="1" applyFont="1" applyBorder="1" applyAlignment="1">
      <alignment horizontal="right"/>
    </xf>
    <xf numFmtId="171" fontId="14" fillId="0" borderId="1" xfId="1" applyNumberFormat="1" applyFont="1" applyFill="1" applyBorder="1" applyAlignment="1">
      <alignment horizontal="right"/>
    </xf>
    <xf numFmtId="0" fontId="16" fillId="0" borderId="0" xfId="0" applyFont="1" applyBorder="1"/>
    <xf numFmtId="164" fontId="14" fillId="0" borderId="0" xfId="0" applyNumberFormat="1" applyFont="1" applyBorder="1"/>
    <xf numFmtId="164" fontId="14" fillId="0" borderId="0" xfId="1" applyNumberFormat="1" applyFont="1"/>
    <xf numFmtId="0" fontId="15" fillId="0" borderId="0" xfId="0" applyFont="1"/>
    <xf numFmtId="14" fontId="14" fillId="0" borderId="0" xfId="0" applyNumberFormat="1" applyFont="1" applyAlignment="1">
      <alignment horizontal="left"/>
    </xf>
    <xf numFmtId="3" fontId="14" fillId="0" borderId="0" xfId="1" applyNumberFormat="1" applyFont="1" applyAlignment="1">
      <alignment horizontal="right" indent="2"/>
    </xf>
    <xf numFmtId="3" fontId="14" fillId="0" borderId="0" xfId="1" applyNumberFormat="1" applyFont="1" applyAlignment="1">
      <alignment horizontal="right" indent="1"/>
    </xf>
    <xf numFmtId="3" fontId="14" fillId="0" borderId="0" xfId="1" applyNumberFormat="1" applyFont="1" applyAlignment="1">
      <alignment horizontal="center"/>
    </xf>
    <xf numFmtId="171" fontId="14" fillId="0" borderId="0" xfId="1" applyNumberFormat="1" applyFont="1" applyBorder="1" applyAlignment="1">
      <alignment horizontal="center"/>
    </xf>
    <xf numFmtId="171" fontId="14" fillId="0" borderId="0" xfId="1" applyNumberFormat="1" applyFont="1" applyBorder="1" applyAlignment="1">
      <alignment horizontal="right" indent="2"/>
    </xf>
    <xf numFmtId="171" fontId="14" fillId="0" borderId="0" xfId="1" applyNumberFormat="1" applyFont="1" applyAlignment="1">
      <alignment horizontal="right" indent="1"/>
    </xf>
    <xf numFmtId="171" fontId="14" fillId="0" borderId="1" xfId="1" applyNumberFormat="1" applyFont="1" applyBorder="1" applyAlignment="1">
      <alignment horizontal="right" indent="2"/>
    </xf>
    <xf numFmtId="0" fontId="16" fillId="0" borderId="0" xfId="0" applyFont="1"/>
    <xf numFmtId="0" fontId="14" fillId="0" borderId="0" xfId="0" applyFont="1" applyBorder="1" applyAlignment="1">
      <alignment horizontal="center"/>
    </xf>
    <xf numFmtId="171" fontId="14" fillId="0" borderId="0" xfId="1" applyNumberFormat="1" applyFont="1" applyAlignment="1">
      <alignment horizontal="center"/>
    </xf>
    <xf numFmtId="171" fontId="14" fillId="0" borderId="1" xfId="1" applyNumberFormat="1" applyFont="1" applyBorder="1" applyAlignment="1">
      <alignment horizontal="center"/>
    </xf>
    <xf numFmtId="0" fontId="14" fillId="0" borderId="3" xfId="0" applyFont="1" applyBorder="1"/>
    <xf numFmtId="0" fontId="14" fillId="0" borderId="0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4" fillId="0" borderId="0" xfId="0" applyFont="1" applyBorder="1" applyAlignment="1"/>
    <xf numFmtId="37" fontId="14" fillId="0" borderId="0" xfId="1" applyNumberFormat="1" applyFont="1" applyAlignment="1">
      <alignment horizontal="center"/>
    </xf>
    <xf numFmtId="37" fontId="14" fillId="0" borderId="0" xfId="1" applyNumberFormat="1" applyFont="1" applyAlignment="1">
      <alignment horizontal="right" indent="2"/>
    </xf>
    <xf numFmtId="37" fontId="14" fillId="0" borderId="0" xfId="1" applyNumberFormat="1" applyFont="1" applyAlignment="1">
      <alignment horizontal="right" indent="1"/>
    </xf>
    <xf numFmtId="37" fontId="14" fillId="0" borderId="1" xfId="1" applyNumberFormat="1" applyFont="1" applyBorder="1" applyAlignment="1">
      <alignment horizontal="center"/>
    </xf>
    <xf numFmtId="37" fontId="14" fillId="0" borderId="1" xfId="1" applyNumberFormat="1" applyFont="1" applyBorder="1" applyAlignment="1">
      <alignment horizontal="right" indent="2"/>
    </xf>
    <xf numFmtId="165" fontId="14" fillId="0" borderId="1" xfId="1" applyNumberFormat="1" applyFont="1" applyBorder="1"/>
    <xf numFmtId="37" fontId="14" fillId="0" borderId="1" xfId="1" applyNumberFormat="1" applyFont="1" applyBorder="1" applyAlignment="1">
      <alignment horizontal="right" indent="1"/>
    </xf>
    <xf numFmtId="37" fontId="14" fillId="0" borderId="0" xfId="1" applyNumberFormat="1" applyFont="1" applyBorder="1" applyAlignment="1">
      <alignment horizontal="center"/>
    </xf>
    <xf numFmtId="165" fontId="14" fillId="0" borderId="0" xfId="1" applyNumberFormat="1" applyFont="1" applyBorder="1"/>
    <xf numFmtId="1" fontId="14" fillId="0" borderId="0" xfId="0" applyNumberFormat="1" applyFont="1" applyAlignment="1">
      <alignment horizontal="center"/>
    </xf>
    <xf numFmtId="37" fontId="14" fillId="0" borderId="0" xfId="1" applyNumberFormat="1" applyFont="1" applyBorder="1" applyAlignment="1">
      <alignment horizontal="right" indent="1"/>
    </xf>
    <xf numFmtId="1" fontId="14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4" fontId="14" fillId="0" borderId="0" xfId="0" applyNumberFormat="1" applyFont="1" applyAlignment="1">
      <alignment horizontal="right"/>
    </xf>
    <xf numFmtId="165" fontId="14" fillId="0" borderId="1" xfId="1" applyNumberFormat="1" applyFont="1" applyBorder="1" applyAlignment="1">
      <alignment horizontal="right"/>
    </xf>
    <xf numFmtId="16" fontId="14" fillId="0" borderId="0" xfId="0" applyNumberFormat="1" applyFont="1" applyBorder="1"/>
    <xf numFmtId="0" fontId="15" fillId="0" borderId="0" xfId="0" applyFont="1" applyBorder="1" applyAlignment="1">
      <alignment horizontal="center"/>
    </xf>
    <xf numFmtId="2" fontId="14" fillId="0" borderId="0" xfId="0" applyNumberFormat="1" applyFont="1" applyBorder="1" applyAlignment="1">
      <alignment horizontal="right" indent="2"/>
    </xf>
    <xf numFmtId="43" fontId="14" fillId="0" borderId="0" xfId="1" quotePrefix="1" applyFont="1" applyBorder="1" applyAlignment="1">
      <alignment horizontal="center"/>
    </xf>
    <xf numFmtId="175" fontId="14" fillId="0" borderId="0" xfId="0" applyNumberFormat="1" applyFont="1" applyBorder="1"/>
    <xf numFmtId="43" fontId="14" fillId="0" borderId="0" xfId="1" quotePrefix="1" applyNumberFormat="1" applyFont="1" applyBorder="1" applyAlignment="1">
      <alignment horizontal="center"/>
    </xf>
    <xf numFmtId="166" fontId="14" fillId="0" borderId="0" xfId="1" quotePrefix="1" applyNumberFormat="1" applyFont="1" applyBorder="1" applyAlignment="1">
      <alignment horizontal="center"/>
    </xf>
    <xf numFmtId="43" fontId="14" fillId="0" borderId="0" xfId="1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right" indent="2"/>
    </xf>
    <xf numFmtId="43" fontId="14" fillId="0" borderId="0" xfId="1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5" fillId="0" borderId="3" xfId="0" applyFont="1" applyBorder="1" applyAlignment="1"/>
    <xf numFmtId="43" fontId="14" fillId="0" borderId="0" xfId="1" applyNumberFormat="1" applyFont="1" applyBorder="1"/>
    <xf numFmtId="43" fontId="14" fillId="0" borderId="0" xfId="0" applyNumberFormat="1" applyFont="1"/>
    <xf numFmtId="165" fontId="14" fillId="0" borderId="0" xfId="1" applyNumberFormat="1" applyFont="1" applyBorder="1" applyAlignment="1">
      <alignment horizontal="center"/>
    </xf>
    <xf numFmtId="43" fontId="14" fillId="0" borderId="0" xfId="1" applyFont="1" applyBorder="1" applyAlignment="1">
      <alignment horizontal="center"/>
    </xf>
    <xf numFmtId="0" fontId="14" fillId="0" borderId="0" xfId="0" quotePrefix="1" applyFont="1" applyBorder="1"/>
    <xf numFmtId="0" fontId="14" fillId="0" borderId="1" xfId="0" quotePrefix="1" applyFont="1" applyBorder="1"/>
    <xf numFmtId="43" fontId="14" fillId="0" borderId="1" xfId="1" applyFont="1" applyBorder="1" applyAlignment="1">
      <alignment horizontal="center"/>
    </xf>
    <xf numFmtId="168" fontId="14" fillId="0" borderId="0" xfId="0" applyNumberFormat="1" applyFont="1"/>
    <xf numFmtId="2" fontId="14" fillId="0" borderId="0" xfId="0" applyNumberFormat="1" applyFont="1"/>
    <xf numFmtId="3" fontId="5" fillId="0" borderId="0" xfId="0" applyNumberFormat="1" applyFont="1" applyBorder="1" applyAlignment="1"/>
    <xf numFmtId="2" fontId="0" fillId="0" borderId="0" xfId="0" applyNumberFormat="1" applyBorder="1" applyAlignment="1">
      <alignment wrapText="1"/>
    </xf>
    <xf numFmtId="14" fontId="0" fillId="0" borderId="0" xfId="0" applyNumberFormat="1" applyBorder="1" applyAlignment="1">
      <alignment wrapText="1"/>
    </xf>
    <xf numFmtId="14" fontId="0" fillId="0" borderId="4" xfId="0" applyNumberFormat="1" applyBorder="1" applyAlignment="1">
      <alignment wrapText="1"/>
    </xf>
    <xf numFmtId="2" fontId="14" fillId="0" borderId="0" xfId="0" applyNumberFormat="1" applyFont="1" applyBorder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quotePrefix="1" applyAlignment="1" applyProtection="1">
      <alignment horizontal="left"/>
    </xf>
    <xf numFmtId="0" fontId="2" fillId="0" borderId="0" xfId="10"/>
    <xf numFmtId="0" fontId="5" fillId="0" borderId="0" xfId="10" applyFont="1"/>
    <xf numFmtId="2" fontId="5" fillId="0" borderId="0" xfId="10" quotePrefix="1" applyNumberFormat="1" applyFont="1"/>
    <xf numFmtId="2" fontId="2" fillId="0" borderId="0" xfId="10" applyNumberFormat="1" applyFont="1"/>
    <xf numFmtId="0" fontId="2" fillId="0" borderId="0" xfId="10" applyFont="1" applyBorder="1"/>
    <xf numFmtId="0" fontId="5" fillId="0" borderId="0" xfId="10" applyFont="1" applyBorder="1"/>
    <xf numFmtId="167" fontId="2" fillId="0" borderId="0" xfId="10" applyNumberFormat="1" applyBorder="1" applyAlignment="1">
      <alignment wrapText="1"/>
    </xf>
    <xf numFmtId="1" fontId="2" fillId="0" borderId="0" xfId="0" applyNumberFormat="1" applyFont="1"/>
    <xf numFmtId="14" fontId="0" fillId="0" borderId="0" xfId="0" applyNumberFormat="1"/>
    <xf numFmtId="170" fontId="0" fillId="0" borderId="0" xfId="12" applyNumberFormat="1" applyFont="1"/>
    <xf numFmtId="167" fontId="0" fillId="0" borderId="0" xfId="12" applyNumberFormat="1" applyFont="1"/>
    <xf numFmtId="0" fontId="2" fillId="0" borderId="0" xfId="0" quotePrefix="1" applyFont="1"/>
    <xf numFmtId="0" fontId="2" fillId="0" borderId="0" xfId="0" quotePrefix="1" applyNumberFormat="1" applyFont="1"/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13">
    <cellStyle name="Comma" xfId="1" builtinId="3"/>
    <cellStyle name="Comma 2" xfId="2"/>
    <cellStyle name="Comma 3" xfId="3"/>
    <cellStyle name="Hyperlink" xfId="4" builtinId="8"/>
    <cellStyle name="Hyperlink 2" xfId="5"/>
    <cellStyle name="Hyperlink 3" xfId="6"/>
    <cellStyle name="Normal" xfId="0" builtinId="0"/>
    <cellStyle name="Normal 2" xfId="7"/>
    <cellStyle name="Normal 2 2" xfId="8"/>
    <cellStyle name="Normal 3" xfId="9"/>
    <cellStyle name="Normal 4" xfId="10"/>
    <cellStyle name="Normal 5" xfId="11"/>
    <cellStyle name="Percent" xfId="1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 lack of U.S. </a:t>
            </a:r>
            <a:r>
              <a:rPr lang="en-US" sz="1000" b="1" i="0" u="none" strike="noStrike" baseline="0">
                <a:effectLst/>
              </a:rPr>
              <a:t>soybean sales to China by November 1 overwhelms an increase for</a:t>
            </a:r>
            <a:r>
              <a:rPr lang="en-US"/>
              <a:t> </a:t>
            </a:r>
            <a:r>
              <a:rPr lang="en-US" baseline="0"/>
              <a:t>other countries </a:t>
            </a:r>
            <a:endParaRPr lang="en-US"/>
          </a:p>
        </c:rich>
      </c:tx>
      <c:layout>
        <c:manualLayout>
          <c:xMode val="edge"/>
          <c:yMode val="edge"/>
          <c:x val="2.4326560361638695E-2"/>
          <c:y val="4.05219469517529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203390556188967E-2"/>
          <c:y val="0.19511964750582575"/>
          <c:w val="0.74789475912285153"/>
          <c:h val="0.66161589696209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Cover!$B$2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Cover!$A$4:$A$12</c:f>
              <c:strCache>
                <c:ptCount val="9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</c:strCache>
            </c:strRef>
          </c:cat>
          <c:val>
            <c:numRef>
              <c:f>Cover!$B$4:$B$12</c:f>
              <c:numCache>
                <c:formatCode>0.0</c:formatCode>
                <c:ptCount val="9"/>
                <c:pt idx="0">
                  <c:v>646.71484059000011</c:v>
                </c:pt>
                <c:pt idx="1">
                  <c:v>488.81246420999997</c:v>
                </c:pt>
                <c:pt idx="2">
                  <c:v>587.83673570999997</c:v>
                </c:pt>
                <c:pt idx="3">
                  <c:v>777.06311633999997</c:v>
                </c:pt>
                <c:pt idx="4">
                  <c:v>815.49335216999998</c:v>
                </c:pt>
                <c:pt idx="5">
                  <c:v>546.69481482000003</c:v>
                </c:pt>
                <c:pt idx="6">
                  <c:v>764.46002724000004</c:v>
                </c:pt>
                <c:pt idx="7">
                  <c:v>629.27995494000004</c:v>
                </c:pt>
                <c:pt idx="8">
                  <c:v>35.898594900000006</c:v>
                </c:pt>
              </c:numCache>
            </c:numRef>
          </c:val>
        </c:ser>
        <c:ser>
          <c:idx val="1"/>
          <c:order val="1"/>
          <c:tx>
            <c:strRef>
              <c:f>Cover!$C$2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</a:ln>
          </c:spPr>
          <c:invertIfNegative val="0"/>
          <c:val>
            <c:numRef>
              <c:f>Cover!$C$4:$C$12</c:f>
              <c:numCache>
                <c:formatCode>0.0</c:formatCode>
                <c:ptCount val="9"/>
                <c:pt idx="0">
                  <c:v>416.32449284999996</c:v>
                </c:pt>
                <c:pt idx="1">
                  <c:v>213.94019325000005</c:v>
                </c:pt>
                <c:pt idx="2">
                  <c:v>365.35363221</c:v>
                </c:pt>
                <c:pt idx="3">
                  <c:v>444.56937504000018</c:v>
                </c:pt>
                <c:pt idx="4">
                  <c:v>494.24685744000021</c:v>
                </c:pt>
                <c:pt idx="5">
                  <c:v>476.38941923999994</c:v>
                </c:pt>
                <c:pt idx="6">
                  <c:v>597.46358511000017</c:v>
                </c:pt>
                <c:pt idx="7">
                  <c:v>527.3492567699999</c:v>
                </c:pt>
                <c:pt idx="8">
                  <c:v>766.55441814000005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44550320"/>
        <c:axId val="-1344553040"/>
      </c:barChart>
      <c:catAx>
        <c:axId val="-134455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Sources:  USDA, Foreign Agricultural Service</a:t>
                </a:r>
                <a:r>
                  <a:rPr lang="en-US" sz="9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, Export Sales.</a:t>
                </a:r>
              </a:p>
            </c:rich>
          </c:tx>
          <c:layout>
            <c:manualLayout>
              <c:xMode val="edge"/>
              <c:yMode val="edge"/>
              <c:x val="4.1945901518587875E-2"/>
              <c:y val="0.9288620020058469"/>
            </c:manualLayout>
          </c:layout>
          <c:overlay val="0"/>
        </c:title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44553040"/>
        <c:crosses val="autoZero"/>
        <c:auto val="1"/>
        <c:lblAlgn val="ctr"/>
        <c:lblOffset val="100"/>
        <c:noMultiLvlLbl val="0"/>
      </c:catAx>
      <c:valAx>
        <c:axId val="-1344553040"/>
        <c:scaling>
          <c:orientation val="minMax"/>
          <c:max val="14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bushels</a:t>
                </a:r>
              </a:p>
            </c:rich>
          </c:tx>
          <c:layout>
            <c:manualLayout>
              <c:xMode val="edge"/>
              <c:yMode val="edge"/>
              <c:x val="2.6313867339699232E-2"/>
              <c:y val="0.12330708661417324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44550320"/>
        <c:crosses val="autoZero"/>
        <c:crossBetween val="between"/>
        <c:majorUnit val="100"/>
        <c:minorUnit val="25"/>
      </c:valAx>
      <c:spPr>
        <a:ln>
          <a:solidFill>
            <a:prstClr val="black"/>
          </a:solidFill>
        </a:ln>
      </c:spPr>
    </c:plotArea>
    <c:legend>
      <c:legendPos val="t"/>
      <c:layout>
        <c:manualLayout>
          <c:xMode val="edge"/>
          <c:yMode val="edge"/>
          <c:x val="0.10754502068334515"/>
          <c:y val="0.20596205962059622"/>
          <c:w val="9.7563668647770579E-2"/>
          <c:h val="9.17224676183769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Wet weather delays</a:t>
            </a:r>
            <a:r>
              <a:rPr lang="en-US" baseline="0"/>
              <a:t> U.S. s</a:t>
            </a:r>
            <a:r>
              <a:rPr lang="en-US"/>
              <a:t>oybean harvest progress </a:t>
            </a:r>
          </a:p>
        </c:rich>
      </c:tx>
      <c:layout>
        <c:manualLayout>
          <c:xMode val="edge"/>
          <c:yMode val="edge"/>
          <c:x val="3.9951743378178958E-2"/>
          <c:y val="3.80110152134873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036488153600843E-2"/>
          <c:y val="0.18703442093917655"/>
          <c:w val="0.74789475912285153"/>
          <c:h val="0.66161589696209167"/>
        </c:manualLayout>
      </c:layout>
      <c:lineChart>
        <c:grouping val="standard"/>
        <c:varyColors val="0"/>
        <c:ser>
          <c:idx val="1"/>
          <c:order val="0"/>
          <c:tx>
            <c:strRef>
              <c:f>'Oil Crops Chart Gallery Fig 1'!$B$2</c:f>
              <c:strCache>
                <c:ptCount val="1"/>
                <c:pt idx="0">
                  <c:v>2017/18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'Oil Crops Chart Gallery Fig 1'!$A$4:$A$12</c:f>
              <c:strCache>
                <c:ptCount val="9"/>
                <c:pt idx="0">
                  <c:v>Sep 16</c:v>
                </c:pt>
                <c:pt idx="1">
                  <c:v>Sep 23</c:v>
                </c:pt>
                <c:pt idx="2">
                  <c:v>Sep 30</c:v>
                </c:pt>
                <c:pt idx="3">
                  <c:v>Oct 7</c:v>
                </c:pt>
                <c:pt idx="4">
                  <c:v>Oct 14</c:v>
                </c:pt>
                <c:pt idx="5">
                  <c:v>Oct 21</c:v>
                </c:pt>
                <c:pt idx="6">
                  <c:v>Oct 28</c:v>
                </c:pt>
                <c:pt idx="7">
                  <c:v>Nov 4</c:v>
                </c:pt>
                <c:pt idx="8">
                  <c:v>Nov 11</c:v>
                </c:pt>
              </c:strCache>
            </c:strRef>
          </c:cat>
          <c:val>
            <c:numRef>
              <c:f>'Oil Crops Chart Gallery Fig 1'!$B$4:$B$12</c:f>
              <c:numCache>
                <c:formatCode>_(* #,##0_);_(* \(#,##0\);_(* "-"??_);_(@_)</c:formatCode>
                <c:ptCount val="9"/>
                <c:pt idx="0">
                  <c:v>4</c:v>
                </c:pt>
                <c:pt idx="1">
                  <c:v>10</c:v>
                </c:pt>
                <c:pt idx="2">
                  <c:v>22</c:v>
                </c:pt>
                <c:pt idx="3">
                  <c:v>36</c:v>
                </c:pt>
                <c:pt idx="4">
                  <c:v>49</c:v>
                </c:pt>
                <c:pt idx="5">
                  <c:v>70</c:v>
                </c:pt>
                <c:pt idx="6">
                  <c:v>83</c:v>
                </c:pt>
                <c:pt idx="7">
                  <c:v>90</c:v>
                </c:pt>
                <c:pt idx="8">
                  <c:v>93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'Oil Crops Chart Gallery Fig 1'!$C$2</c:f>
              <c:strCache>
                <c:ptCount val="1"/>
                <c:pt idx="0">
                  <c:v>2018/19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'Oil Crops Chart Gallery Fig 1'!$A$4:$A$12</c:f>
              <c:strCache>
                <c:ptCount val="9"/>
                <c:pt idx="0">
                  <c:v>Sep 16</c:v>
                </c:pt>
                <c:pt idx="1">
                  <c:v>Sep 23</c:v>
                </c:pt>
                <c:pt idx="2">
                  <c:v>Sep 30</c:v>
                </c:pt>
                <c:pt idx="3">
                  <c:v>Oct 7</c:v>
                </c:pt>
                <c:pt idx="4">
                  <c:v>Oct 14</c:v>
                </c:pt>
                <c:pt idx="5">
                  <c:v>Oct 21</c:v>
                </c:pt>
                <c:pt idx="6">
                  <c:v>Oct 28</c:v>
                </c:pt>
                <c:pt idx="7">
                  <c:v>Nov 4</c:v>
                </c:pt>
                <c:pt idx="8">
                  <c:v>Nov 11</c:v>
                </c:pt>
              </c:strCache>
            </c:strRef>
          </c:cat>
          <c:val>
            <c:numRef>
              <c:f>'Oil Crops Chart Gallery Fig 1'!$C$4:$C$12</c:f>
              <c:numCache>
                <c:formatCode>_(* #,##0_);_(* \(#,##0\);_(* "-"??_);_(@_)</c:formatCode>
                <c:ptCount val="9"/>
                <c:pt idx="0">
                  <c:v>6</c:v>
                </c:pt>
                <c:pt idx="1">
                  <c:v>14</c:v>
                </c:pt>
                <c:pt idx="2">
                  <c:v>23</c:v>
                </c:pt>
                <c:pt idx="3">
                  <c:v>32</c:v>
                </c:pt>
                <c:pt idx="4">
                  <c:v>38</c:v>
                </c:pt>
                <c:pt idx="5">
                  <c:v>53</c:v>
                </c:pt>
                <c:pt idx="6">
                  <c:v>72</c:v>
                </c:pt>
                <c:pt idx="7">
                  <c:v>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'Oil Crops Chart Gallery Fig 1'!$D$2</c:f>
              <c:strCache>
                <c:ptCount val="1"/>
                <c:pt idx="0">
                  <c:v>5-year average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'Oil Crops Chart Gallery Fig 1'!$D$4:$D$12</c:f>
              <c:numCache>
                <c:formatCode>_(* #,##0_);_(* \(#,##0\);_(* "-"??_);_(@_)</c:formatCode>
                <c:ptCount val="9"/>
                <c:pt idx="0">
                  <c:v>3</c:v>
                </c:pt>
                <c:pt idx="1">
                  <c:v>8</c:v>
                </c:pt>
                <c:pt idx="2">
                  <c:v>20</c:v>
                </c:pt>
                <c:pt idx="3">
                  <c:v>36</c:v>
                </c:pt>
                <c:pt idx="4">
                  <c:v>53</c:v>
                </c:pt>
                <c:pt idx="5">
                  <c:v>69</c:v>
                </c:pt>
                <c:pt idx="6">
                  <c:v>81</c:v>
                </c:pt>
                <c:pt idx="7">
                  <c:v>89</c:v>
                </c:pt>
                <c:pt idx="8">
                  <c:v>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44549776"/>
        <c:axId val="-1344551952"/>
      </c:lineChart>
      <c:catAx>
        <c:axId val="-134454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Source: USDA, National Agricultural Statistics Service, </a:t>
                </a:r>
                <a:r>
                  <a:rPr lang="en-US" sz="9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Crop Progress. </a:t>
                </a:r>
              </a:p>
            </c:rich>
          </c:tx>
          <c:layout>
            <c:manualLayout>
              <c:xMode val="edge"/>
              <c:yMode val="edge"/>
              <c:x val="4.1945775929855551E-2"/>
              <c:y val="0.92290239463774126"/>
            </c:manualLayout>
          </c:layout>
          <c:overlay val="0"/>
        </c:title>
        <c:numFmt formatCode="m/d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44551952"/>
        <c:crosses val="autoZero"/>
        <c:auto val="1"/>
        <c:lblAlgn val="ctr"/>
        <c:lblOffset val="100"/>
        <c:noMultiLvlLbl val="1"/>
      </c:catAx>
      <c:valAx>
        <c:axId val="-134455195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4.3498605082025479E-2"/>
              <c:y val="0.12330720673645772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44549776"/>
        <c:crosses val="autoZero"/>
        <c:crossBetween val="between"/>
        <c:majorUnit val="10"/>
        <c:minorUnit val="5"/>
      </c:valAx>
      <c:spPr>
        <a:ln>
          <a:solidFill>
            <a:prstClr val="black"/>
          </a:solidFill>
        </a:ln>
      </c:spPr>
    </c:plotArea>
    <c:legend>
      <c:legendPos val="t"/>
      <c:layout>
        <c:manualLayout>
          <c:xMode val="edge"/>
          <c:yMode val="edge"/>
          <c:x val="0.10653367371486225"/>
          <c:y val="0.20278563577722122"/>
          <c:w val="0.16431546849861997"/>
          <c:h val="0.16131697338816997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Growth in China's soybean meal consumption expected to slow </a:t>
            </a:r>
          </a:p>
        </c:rich>
      </c:tx>
      <c:layout>
        <c:manualLayout>
          <c:xMode val="edge"/>
          <c:yMode val="edge"/>
          <c:x val="4.5455290691403298E-2"/>
          <c:y val="3.80110284379590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036488153600843E-2"/>
          <c:y val="0.18703442093917655"/>
          <c:w val="0.74789475912285153"/>
          <c:h val="0.661615896962091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'Oil Crops Chart Gallery Fig 2'!$B$2</c:f>
              <c:strCache>
                <c:ptCount val="1"/>
                <c:pt idx="0">
                  <c:v>Soybean meal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7030A0"/>
              </a:solidFill>
            </a:ln>
          </c:spPr>
          <c:invertIfNegative val="0"/>
          <c:cat>
            <c:strRef>
              <c:f>'Oil Crops Chart Gallery Fig 2'!$A$5:$A$14</c:f>
              <c:strCache>
                <c:ptCount val="10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</c:strCache>
            </c:strRef>
          </c:cat>
          <c:val>
            <c:numRef>
              <c:f>'Oil Crops Chart Gallery Fig 2'!$B$5:$B$14</c:f>
              <c:numCache>
                <c:formatCode>0.0</c:formatCode>
                <c:ptCount val="10"/>
                <c:pt idx="0">
                  <c:v>36.76</c:v>
                </c:pt>
                <c:pt idx="1">
                  <c:v>42.381999999999998</c:v>
                </c:pt>
                <c:pt idx="2">
                  <c:v>46.509</c:v>
                </c:pt>
                <c:pt idx="3">
                  <c:v>49.180999999999997</c:v>
                </c:pt>
                <c:pt idx="4">
                  <c:v>51.612000000000002</c:v>
                </c:pt>
                <c:pt idx="5">
                  <c:v>56.487000000000002</c:v>
                </c:pt>
                <c:pt idx="6">
                  <c:v>61.662999999999997</c:v>
                </c:pt>
                <c:pt idx="7">
                  <c:v>67.596000000000004</c:v>
                </c:pt>
                <c:pt idx="8">
                  <c:v>69.2</c:v>
                </c:pt>
                <c:pt idx="9">
                  <c:v>71.239999999999995</c:v>
                </c:pt>
              </c:numCache>
            </c:numRef>
          </c:val>
        </c:ser>
        <c:ser>
          <c:idx val="2"/>
          <c:order val="1"/>
          <c:tx>
            <c:strRef>
              <c:f>'Oil Crops Chart Gallery Fig 2'!$C$2:$C$3</c:f>
              <c:strCache>
                <c:ptCount val="2"/>
                <c:pt idx="0">
                  <c:v>Other protein meals </c:v>
                </c:pt>
                <c:pt idx="1">
                  <c:v>(soybean meal equivalent)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'Oil Crops Chart Gallery Fig 2'!$A$5:$A$14</c:f>
              <c:strCache>
                <c:ptCount val="10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</c:strCache>
            </c:strRef>
          </c:cat>
          <c:val>
            <c:numRef>
              <c:f>'Oil Crops Chart Gallery Fig 2'!$C$5:$C$14</c:f>
              <c:numCache>
                <c:formatCode>0.0</c:formatCode>
                <c:ptCount val="10"/>
                <c:pt idx="0">
                  <c:v>15.533999999999999</c:v>
                </c:pt>
                <c:pt idx="1">
                  <c:v>16.047000000000004</c:v>
                </c:pt>
                <c:pt idx="2">
                  <c:v>16.683999999999997</c:v>
                </c:pt>
                <c:pt idx="3">
                  <c:v>16.704000000000008</c:v>
                </c:pt>
                <c:pt idx="4">
                  <c:v>17.68</c:v>
                </c:pt>
                <c:pt idx="5">
                  <c:v>17.035999999999994</c:v>
                </c:pt>
                <c:pt idx="6">
                  <c:v>16.272000000000006</c:v>
                </c:pt>
                <c:pt idx="7">
                  <c:v>17.534999999999997</c:v>
                </c:pt>
                <c:pt idx="8">
                  <c:v>18.278999999999996</c:v>
                </c:pt>
                <c:pt idx="9">
                  <c:v>18.290000000000006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44551408"/>
        <c:axId val="-1344543248"/>
      </c:barChart>
      <c:catAx>
        <c:axId val="-134455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Source: USDA, Foreign Agricultural Statistics Service, PSD Online</a:t>
                </a:r>
                <a:r>
                  <a:rPr lang="en-US" sz="9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.</a:t>
                </a:r>
              </a:p>
            </c:rich>
          </c:tx>
          <c:layout>
            <c:manualLayout>
              <c:xMode val="edge"/>
              <c:yMode val="edge"/>
              <c:x val="4.1945852658828602E-2"/>
              <c:y val="0.9288620000481592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44543248"/>
        <c:crosses val="autoZero"/>
        <c:auto val="0"/>
        <c:lblAlgn val="ctr"/>
        <c:lblOffset val="100"/>
        <c:noMultiLvlLbl val="0"/>
      </c:catAx>
      <c:valAx>
        <c:axId val="-134454324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metric tons</a:t>
                </a:r>
              </a:p>
            </c:rich>
          </c:tx>
          <c:layout>
            <c:manualLayout>
              <c:xMode val="edge"/>
              <c:yMode val="edge"/>
              <c:x val="4.5338942221263438E-2"/>
              <c:y val="0.12330708661417324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44551408"/>
        <c:crosses val="autoZero"/>
        <c:crossBetween val="between"/>
        <c:majorUnit val="10"/>
        <c:minorUnit val="5"/>
      </c:valAx>
      <c:spPr>
        <a:ln>
          <a:solidFill>
            <a:prstClr val="black"/>
          </a:solidFill>
        </a:ln>
      </c:spPr>
    </c:plotArea>
    <c:legend>
      <c:legendPos val="t"/>
      <c:layout>
        <c:manualLayout>
          <c:xMode val="edge"/>
          <c:yMode val="edge"/>
          <c:x val="0.10785150170974414"/>
          <c:y val="0.1949213667171717"/>
          <c:w val="0.23908489424755291"/>
          <c:h val="0.11720554995273834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13" name="Picture 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14" name="Picture 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15" name="Picture 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16" name="Picture 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17" name="Picture 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18" name="Picture 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19" name="Picture 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20" name="Picture 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21" name="Picture 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22" name="Picture 1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23" name="Picture 1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24" name="Picture 1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25" name="Picture 1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26" name="Picture 1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27" name="Picture 1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28" name="Picture 1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29" name="Picture 1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30" name="Picture 1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31" name="Picture 1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32" name="Picture 2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33" name="Picture 2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34" name="Picture 2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35" name="Picture 2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36" name="Picture 2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37" name="Picture 2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38" name="Picture 2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39" name="Picture 2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40" name="Picture 2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41" name="Picture 2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42" name="Picture 3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43" name="Picture 3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44" name="Picture 3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45" name="Picture 3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46" name="Picture 3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47" name="Picture 3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48" name="Picture 3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49" name="Picture 3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50" name="Picture 3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51" name="Picture 3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52" name="Picture 4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53" name="Picture 4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9868254" name="Picture 4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9868255" name="Picture 209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9868256" name="Picture 209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9868257" name="Picture 210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9868258" name="Picture 210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9868259" name="Picture 210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9868260" name="Picture 210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9868261" name="Picture 210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9868262" name="Picture 210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0</xdr:rowOff>
    </xdr:from>
    <xdr:to>
      <xdr:col>13</xdr:col>
      <xdr:colOff>438150</xdr:colOff>
      <xdr:row>25</xdr:row>
      <xdr:rowOff>123825</xdr:rowOff>
    </xdr:to>
    <xdr:graphicFrame macro="">
      <xdr:nvGraphicFramePr>
        <xdr:cNvPr id="767560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550718</xdr:colOff>
      <xdr:row>0</xdr:row>
      <xdr:rowOff>33771</xdr:rowOff>
    </xdr:from>
    <xdr:to>
      <xdr:col>15</xdr:col>
      <xdr:colOff>267566</xdr:colOff>
      <xdr:row>25</xdr:row>
      <xdr:rowOff>150669</xdr:rowOff>
    </xdr:to>
    <xdr:graphicFrame macro="">
      <xdr:nvGraphicFramePr>
        <xdr:cNvPr id="707786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174913</xdr:colOff>
      <xdr:row>0</xdr:row>
      <xdr:rowOff>46759</xdr:rowOff>
    </xdr:from>
    <xdr:to>
      <xdr:col>14</xdr:col>
      <xdr:colOff>489238</xdr:colOff>
      <xdr:row>25</xdr:row>
      <xdr:rowOff>154132</xdr:rowOff>
    </xdr:to>
    <xdr:graphicFrame macro="">
      <xdr:nvGraphicFramePr>
        <xdr:cNvPr id="84965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</sheetPr>
  <dimension ref="A1:C18"/>
  <sheetViews>
    <sheetView tabSelected="1" workbookViewId="0">
      <selection activeCell="A2" sqref="A2"/>
    </sheetView>
  </sheetViews>
  <sheetFormatPr defaultColWidth="9.7109375" defaultRowHeight="12.75" x14ac:dyDescent="0.2"/>
  <cols>
    <col min="1" max="1" width="64.7109375" style="35" customWidth="1"/>
    <col min="2" max="16384" width="9.7109375" style="27"/>
  </cols>
  <sheetData>
    <row r="1" spans="1:3" ht="44.25" customHeight="1" x14ac:dyDescent="0.2">
      <c r="A1" s="26"/>
    </row>
    <row r="2" spans="1:3" ht="18" x14ac:dyDescent="0.25">
      <c r="A2" s="28" t="s">
        <v>122</v>
      </c>
    </row>
    <row r="3" spans="1:3" s="30" customFormat="1" ht="11.25" x14ac:dyDescent="0.2">
      <c r="A3" s="29"/>
    </row>
    <row r="4" spans="1:3" x14ac:dyDescent="0.2">
      <c r="A4" s="31" t="s">
        <v>123</v>
      </c>
    </row>
    <row r="5" spans="1:3" x14ac:dyDescent="0.2">
      <c r="A5" s="39">
        <f ca="1">TODAY()</f>
        <v>43417</v>
      </c>
      <c r="B5" s="32"/>
    </row>
    <row r="6" spans="1:3" s="30" customFormat="1" x14ac:dyDescent="0.2">
      <c r="A6" s="29"/>
      <c r="B6" s="32"/>
      <c r="C6" s="33"/>
    </row>
    <row r="7" spans="1:3" x14ac:dyDescent="0.2">
      <c r="A7" s="38" t="s">
        <v>73</v>
      </c>
      <c r="B7" s="34"/>
      <c r="C7" s="30"/>
    </row>
    <row r="8" spans="1:3" x14ac:dyDescent="0.2">
      <c r="A8" s="38" t="s">
        <v>23</v>
      </c>
      <c r="B8" s="36"/>
    </row>
    <row r="9" spans="1:3" x14ac:dyDescent="0.2">
      <c r="A9" s="38" t="s">
        <v>25</v>
      </c>
      <c r="B9" s="36"/>
    </row>
    <row r="10" spans="1:3" x14ac:dyDescent="0.2">
      <c r="A10" s="38" t="s">
        <v>11</v>
      </c>
      <c r="B10" s="36"/>
    </row>
    <row r="11" spans="1:3" x14ac:dyDescent="0.2">
      <c r="A11" s="38" t="s">
        <v>12</v>
      </c>
      <c r="B11" s="36"/>
    </row>
    <row r="12" spans="1:3" x14ac:dyDescent="0.2">
      <c r="A12" s="38" t="s">
        <v>13</v>
      </c>
      <c r="B12" s="36"/>
    </row>
    <row r="13" spans="1:3" x14ac:dyDescent="0.2">
      <c r="A13" s="38" t="s">
        <v>14</v>
      </c>
      <c r="B13" s="36"/>
    </row>
    <row r="14" spans="1:3" x14ac:dyDescent="0.2">
      <c r="A14" s="38" t="s">
        <v>51</v>
      </c>
      <c r="B14" s="36"/>
    </row>
    <row r="15" spans="1:3" x14ac:dyDescent="0.2">
      <c r="A15" s="38" t="s">
        <v>22</v>
      </c>
      <c r="B15" s="36"/>
    </row>
    <row r="16" spans="1:3" x14ac:dyDescent="0.2">
      <c r="A16" s="38" t="s">
        <v>43</v>
      </c>
      <c r="B16" s="36"/>
    </row>
    <row r="17" spans="1:2" x14ac:dyDescent="0.2">
      <c r="A17" s="37" t="s">
        <v>124</v>
      </c>
      <c r="B17" s="36"/>
    </row>
    <row r="18" spans="1:2" x14ac:dyDescent="0.2">
      <c r="A18" s="37" t="s">
        <v>125</v>
      </c>
    </row>
  </sheetData>
  <hyperlinks>
    <hyperlink ref="A7" location="'Table 1'!A1" display="Table 1--Soybeans:  Annual U.S. supply and disappearance"/>
    <hyperlink ref="A8" location="'Table 2'!A1" display="Table 2--Soybean meal:  U.S. supply and disappearance"/>
    <hyperlink ref="A9" location="'Table 3'!A1" display="Table 3--Soybean oil:  U.S. supply and disappearance"/>
    <hyperlink ref="A10" location="'Tables 4-7'!A1" display="Table 4--Cottonseed:  U.S. supply and disappearance"/>
    <hyperlink ref="A11" location="'Tables 4-7'!A1" display="Table 5--Cottonseed meal:  U.S. supply and disappearance"/>
    <hyperlink ref="A12" location="'Tables 4-7'!A1" display="Table 6--Cottonseed oil:  U.S. supply and disappearance"/>
    <hyperlink ref="A13" location="'Tables 4-7'!A1" display="Table 7--Peanuts:  U.S. supply and disappearance"/>
    <hyperlink ref="A14" location="'Table 8'!A1" display="Table 8--Oilseed prices received by U.S. farmers"/>
    <hyperlink ref="A15" location="'Table 9'!A1" display="Table 9--U.S. vegetable oil and fats prices"/>
    <hyperlink ref="A16" location="'Table 10'!A1" display="Table 10--U.S. oilseed meal prices 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9"/>
  <sheetViews>
    <sheetView zoomScale="110" zoomScaleNormal="110" workbookViewId="0">
      <selection activeCell="A13" sqref="A13"/>
    </sheetView>
  </sheetViews>
  <sheetFormatPr defaultRowHeight="12.75" x14ac:dyDescent="0.2"/>
  <cols>
    <col min="1" max="1" width="10.5703125" customWidth="1"/>
    <col min="2" max="2" width="9.7109375" customWidth="1"/>
    <col min="3" max="5" width="8.7109375" customWidth="1"/>
    <col min="6" max="11" width="10.5703125" customWidth="1"/>
  </cols>
  <sheetData>
    <row r="1" spans="1:9" x14ac:dyDescent="0.2">
      <c r="A1" s="22" t="s">
        <v>194</v>
      </c>
      <c r="B1" s="140"/>
      <c r="C1" s="140"/>
      <c r="D1" s="140"/>
      <c r="F1" s="10"/>
      <c r="G1" s="22"/>
    </row>
    <row r="2" spans="1:9" ht="14.25" x14ac:dyDescent="0.2">
      <c r="A2" t="s">
        <v>195</v>
      </c>
      <c r="B2" s="42" t="s">
        <v>121</v>
      </c>
      <c r="C2" s="42" t="s">
        <v>182</v>
      </c>
      <c r="D2" s="152" t="s">
        <v>193</v>
      </c>
    </row>
    <row r="3" spans="1:9" x14ac:dyDescent="0.2">
      <c r="B3" s="10" t="s">
        <v>196</v>
      </c>
      <c r="D3" s="10"/>
    </row>
    <row r="4" spans="1:9" x14ac:dyDescent="0.2">
      <c r="A4" s="153" t="s">
        <v>202</v>
      </c>
      <c r="B4" s="21">
        <v>4</v>
      </c>
      <c r="C4" s="21">
        <v>6</v>
      </c>
      <c r="D4" s="21">
        <v>3</v>
      </c>
      <c r="F4" s="23"/>
      <c r="G4" s="25"/>
    </row>
    <row r="5" spans="1:9" x14ac:dyDescent="0.2">
      <c r="A5" s="153" t="s">
        <v>203</v>
      </c>
      <c r="B5" s="21">
        <v>10</v>
      </c>
      <c r="C5" s="21">
        <v>14</v>
      </c>
      <c r="D5" s="21">
        <v>8</v>
      </c>
      <c r="F5" s="23"/>
      <c r="G5" s="25"/>
    </row>
    <row r="6" spans="1:9" x14ac:dyDescent="0.2">
      <c r="A6" s="153" t="s">
        <v>204</v>
      </c>
      <c r="B6" s="21">
        <v>22</v>
      </c>
      <c r="C6" s="21">
        <v>23</v>
      </c>
      <c r="D6" s="21">
        <v>20</v>
      </c>
      <c r="F6" s="23"/>
      <c r="G6" s="25"/>
    </row>
    <row r="7" spans="1:9" x14ac:dyDescent="0.2">
      <c r="A7" s="153" t="s">
        <v>205</v>
      </c>
      <c r="B7" s="21">
        <v>36</v>
      </c>
      <c r="C7" s="21">
        <v>32</v>
      </c>
      <c r="D7" s="21">
        <v>36</v>
      </c>
      <c r="F7" s="23"/>
      <c r="G7" s="25"/>
    </row>
    <row r="8" spans="1:9" x14ac:dyDescent="0.2">
      <c r="A8" s="153" t="s">
        <v>206</v>
      </c>
      <c r="B8" s="21">
        <v>49</v>
      </c>
      <c r="C8" s="21">
        <v>38</v>
      </c>
      <c r="D8" s="21">
        <v>53</v>
      </c>
      <c r="F8" s="23"/>
      <c r="G8" s="25"/>
    </row>
    <row r="9" spans="1:9" x14ac:dyDescent="0.2">
      <c r="A9" s="153" t="s">
        <v>207</v>
      </c>
      <c r="B9" s="21">
        <v>70</v>
      </c>
      <c r="C9" s="21">
        <v>53</v>
      </c>
      <c r="D9" s="21">
        <v>69</v>
      </c>
      <c r="E9" s="25"/>
      <c r="F9" s="23"/>
      <c r="G9" s="25"/>
    </row>
    <row r="10" spans="1:9" x14ac:dyDescent="0.2">
      <c r="A10" s="153" t="s">
        <v>208</v>
      </c>
      <c r="B10" s="21">
        <v>83</v>
      </c>
      <c r="C10" s="21">
        <v>72</v>
      </c>
      <c r="D10" s="21">
        <v>81</v>
      </c>
      <c r="E10" s="25"/>
      <c r="F10" s="23"/>
      <c r="G10" s="25"/>
    </row>
    <row r="11" spans="1:9" x14ac:dyDescent="0.2">
      <c r="A11" s="153" t="s">
        <v>209</v>
      </c>
      <c r="B11" s="21">
        <v>90</v>
      </c>
      <c r="C11" s="21">
        <v>83</v>
      </c>
      <c r="D11" s="21">
        <v>89</v>
      </c>
      <c r="E11" s="25"/>
      <c r="F11" s="23"/>
    </row>
    <row r="12" spans="1:9" x14ac:dyDescent="0.2">
      <c r="A12" s="153" t="s">
        <v>210</v>
      </c>
      <c r="B12" s="21">
        <v>93</v>
      </c>
      <c r="C12" s="25"/>
      <c r="D12" s="21">
        <v>93</v>
      </c>
      <c r="E12" s="25"/>
      <c r="F12" s="23"/>
    </row>
    <row r="13" spans="1:9" x14ac:dyDescent="0.2">
      <c r="A13" s="139"/>
      <c r="B13" s="25"/>
      <c r="C13" s="25"/>
      <c r="D13" s="25"/>
      <c r="E13" s="25"/>
      <c r="F13" s="23"/>
    </row>
    <row r="14" spans="1:9" x14ac:dyDescent="0.2">
      <c r="A14" s="139"/>
      <c r="B14" s="25"/>
      <c r="C14" s="25"/>
      <c r="D14" s="25"/>
      <c r="E14" s="25"/>
      <c r="F14" s="23"/>
    </row>
    <row r="15" spans="1:9" x14ac:dyDescent="0.2">
      <c r="A15" s="139"/>
      <c r="B15" s="25"/>
      <c r="C15" s="25"/>
      <c r="D15" s="25"/>
      <c r="E15" s="25"/>
    </row>
    <row r="16" spans="1:9" x14ac:dyDescent="0.2">
      <c r="A16" s="139"/>
      <c r="B16" s="25"/>
      <c r="C16" s="25"/>
      <c r="D16" s="25"/>
      <c r="G16" s="21"/>
      <c r="H16" s="21"/>
      <c r="I16" s="21"/>
    </row>
    <row r="17" spans="1:8" x14ac:dyDescent="0.2">
      <c r="A17" s="139"/>
      <c r="B17" s="25"/>
      <c r="C17" s="25"/>
      <c r="D17" s="25"/>
      <c r="G17" s="13"/>
      <c r="H17" s="13"/>
    </row>
    <row r="18" spans="1:8" x14ac:dyDescent="0.2">
      <c r="A18" s="139"/>
      <c r="B18" s="25"/>
      <c r="C18" s="25"/>
      <c r="D18" s="25"/>
      <c r="E18" s="23"/>
      <c r="F18" s="23"/>
      <c r="G18" s="13"/>
      <c r="H18" s="13"/>
    </row>
    <row r="19" spans="1:8" x14ac:dyDescent="0.2">
      <c r="A19" s="139"/>
      <c r="B19" s="25"/>
      <c r="C19" s="25"/>
      <c r="D19" s="9"/>
      <c r="E19" s="9"/>
      <c r="F19" s="23"/>
      <c r="G19" s="13"/>
      <c r="H19" s="13"/>
    </row>
    <row r="20" spans="1:8" x14ac:dyDescent="0.2">
      <c r="A20" s="139"/>
      <c r="B20" s="25"/>
      <c r="C20" s="25"/>
      <c r="D20" s="9"/>
      <c r="E20" s="9"/>
      <c r="F20" s="23"/>
      <c r="G20" s="13"/>
      <c r="H20" s="13"/>
    </row>
    <row r="21" spans="1:8" x14ac:dyDescent="0.2">
      <c r="A21" s="139"/>
      <c r="B21" s="25"/>
      <c r="C21" s="25"/>
      <c r="D21" s="9"/>
      <c r="E21" s="9"/>
      <c r="F21" s="23"/>
      <c r="G21" s="13"/>
      <c r="H21" s="13"/>
    </row>
    <row r="22" spans="1:8" x14ac:dyDescent="0.2">
      <c r="A22" s="139"/>
      <c r="B22" s="25"/>
      <c r="C22" s="25"/>
      <c r="D22" s="9"/>
      <c r="E22" s="9"/>
      <c r="F22" s="23"/>
      <c r="G22" s="13"/>
      <c r="H22" s="13"/>
    </row>
    <row r="23" spans="1:8" x14ac:dyDescent="0.2">
      <c r="A23" s="20"/>
      <c r="B23" s="9"/>
      <c r="C23" s="9"/>
      <c r="D23" s="9"/>
      <c r="E23" s="9"/>
      <c r="F23" s="23"/>
      <c r="G23" s="13"/>
      <c r="H23" s="13"/>
    </row>
    <row r="24" spans="1:8" x14ac:dyDescent="0.2">
      <c r="A24" s="20"/>
      <c r="B24" s="9"/>
      <c r="C24" s="9"/>
      <c r="D24" s="9"/>
      <c r="E24" s="9"/>
      <c r="F24" s="23"/>
      <c r="G24" s="13"/>
      <c r="H24" s="13"/>
    </row>
    <row r="25" spans="1:8" x14ac:dyDescent="0.2">
      <c r="A25" s="19"/>
      <c r="B25" s="9"/>
      <c r="C25" s="9"/>
      <c r="D25" s="9"/>
      <c r="E25" s="9"/>
      <c r="F25" s="23"/>
      <c r="G25" s="13"/>
      <c r="H25" s="13"/>
    </row>
    <row r="26" spans="1:8" x14ac:dyDescent="0.2">
      <c r="A26" s="19"/>
      <c r="B26" s="9"/>
      <c r="C26" s="9"/>
      <c r="D26" s="9"/>
      <c r="E26" s="9"/>
      <c r="F26" s="23"/>
      <c r="G26" s="13"/>
      <c r="H26" s="13"/>
    </row>
    <row r="27" spans="1:8" x14ac:dyDescent="0.2">
      <c r="A27" s="19"/>
      <c r="B27" s="9"/>
      <c r="C27" s="9"/>
      <c r="D27" s="9"/>
      <c r="E27" s="9"/>
      <c r="F27" s="23"/>
      <c r="G27" s="13"/>
      <c r="H27" s="13"/>
    </row>
    <row r="28" spans="1:8" x14ac:dyDescent="0.2">
      <c r="A28" s="19"/>
      <c r="B28" s="9"/>
      <c r="C28" s="9"/>
      <c r="D28" s="9"/>
      <c r="E28" s="9"/>
      <c r="F28" s="23"/>
      <c r="G28" s="13"/>
      <c r="H28" s="13"/>
    </row>
    <row r="29" spans="1:8" x14ac:dyDescent="0.2">
      <c r="A29" s="19"/>
      <c r="B29" s="9"/>
      <c r="C29" s="9"/>
      <c r="D29" s="9"/>
      <c r="E29" s="9"/>
      <c r="F29" s="23"/>
    </row>
    <row r="30" spans="1:8" x14ac:dyDescent="0.2">
      <c r="A30" s="19"/>
      <c r="B30" s="9"/>
      <c r="C30" s="9"/>
      <c r="D30" s="9"/>
      <c r="E30" s="9"/>
      <c r="F30" s="23"/>
    </row>
    <row r="31" spans="1:8" x14ac:dyDescent="0.2">
      <c r="A31" s="19"/>
      <c r="B31" s="9"/>
      <c r="C31" s="23"/>
      <c r="D31" s="23"/>
      <c r="E31" s="23"/>
      <c r="F31" s="23"/>
    </row>
    <row r="32" spans="1:8" x14ac:dyDescent="0.2">
      <c r="A32" s="19"/>
      <c r="B32" s="23"/>
      <c r="C32" s="23"/>
      <c r="D32" s="23"/>
      <c r="E32" s="23"/>
      <c r="F32" s="23"/>
    </row>
    <row r="33" spans="1:6" x14ac:dyDescent="0.2">
      <c r="A33" s="19"/>
      <c r="B33" s="23"/>
      <c r="C33" s="23"/>
      <c r="D33" s="23"/>
      <c r="E33" s="23"/>
      <c r="F33" s="23"/>
    </row>
    <row r="34" spans="1:6" x14ac:dyDescent="0.2">
      <c r="A34" s="19"/>
      <c r="B34" s="19"/>
      <c r="C34" s="13"/>
      <c r="D34" s="13"/>
      <c r="E34" s="13"/>
    </row>
    <row r="35" spans="1:6" x14ac:dyDescent="0.2">
      <c r="A35" s="19"/>
      <c r="B35" s="19"/>
      <c r="C35" s="13"/>
      <c r="D35" s="13"/>
      <c r="E35" s="13"/>
    </row>
    <row r="36" spans="1:6" x14ac:dyDescent="0.2">
      <c r="A36" s="19"/>
      <c r="B36" s="19"/>
      <c r="C36" s="13"/>
      <c r="D36" s="13"/>
      <c r="E36" s="13"/>
    </row>
    <row r="37" spans="1:6" x14ac:dyDescent="0.2">
      <c r="A37" s="19"/>
      <c r="B37" s="19"/>
      <c r="C37" s="13"/>
      <c r="D37" s="13"/>
      <c r="E37" s="13"/>
    </row>
    <row r="38" spans="1:6" x14ac:dyDescent="0.2">
      <c r="A38" s="19"/>
      <c r="B38" s="19"/>
      <c r="C38" s="13"/>
      <c r="D38" s="13"/>
      <c r="E38" s="13"/>
    </row>
    <row r="39" spans="1:6" x14ac:dyDescent="0.2">
      <c r="A39" s="19"/>
      <c r="B39" s="19"/>
      <c r="C39" s="13"/>
      <c r="D39" s="13"/>
      <c r="E39" s="13"/>
    </row>
    <row r="40" spans="1:6" x14ac:dyDescent="0.2">
      <c r="A40" s="19"/>
      <c r="B40" s="19"/>
      <c r="C40" s="13"/>
      <c r="D40" s="13"/>
      <c r="E40" s="13"/>
    </row>
    <row r="41" spans="1:6" x14ac:dyDescent="0.2">
      <c r="A41" s="19"/>
      <c r="B41" s="19"/>
      <c r="C41" s="13"/>
      <c r="D41" s="13"/>
      <c r="E41" s="13"/>
    </row>
    <row r="42" spans="1:6" x14ac:dyDescent="0.2">
      <c r="A42" s="19"/>
      <c r="B42" s="19"/>
      <c r="C42" s="13"/>
      <c r="D42" s="13"/>
      <c r="E42" s="13"/>
    </row>
    <row r="43" spans="1:6" x14ac:dyDescent="0.2">
      <c r="A43" s="19"/>
      <c r="B43" s="19"/>
      <c r="C43" s="13"/>
      <c r="D43" s="13"/>
      <c r="E43" s="13"/>
    </row>
    <row r="44" spans="1:6" x14ac:dyDescent="0.2">
      <c r="A44" s="19"/>
      <c r="B44" s="19"/>
      <c r="C44" s="13"/>
      <c r="D44" s="13"/>
      <c r="E44" s="13"/>
    </row>
    <row r="45" spans="1:6" x14ac:dyDescent="0.2">
      <c r="A45" s="19"/>
      <c r="B45" s="19"/>
      <c r="C45" s="18"/>
      <c r="D45" s="18"/>
      <c r="E45" s="18"/>
    </row>
    <row r="46" spans="1:6" x14ac:dyDescent="0.2">
      <c r="A46" s="19"/>
      <c r="B46" s="19"/>
      <c r="C46" s="18"/>
      <c r="D46" s="18"/>
      <c r="E46" s="18"/>
    </row>
    <row r="47" spans="1:6" x14ac:dyDescent="0.2">
      <c r="A47" s="19"/>
      <c r="B47" s="19"/>
      <c r="C47" s="18"/>
      <c r="D47" s="18"/>
      <c r="E47" s="18"/>
    </row>
    <row r="48" spans="1:6" x14ac:dyDescent="0.2">
      <c r="A48" s="19"/>
      <c r="B48" s="19"/>
      <c r="C48" s="18"/>
      <c r="D48" s="18"/>
      <c r="E48" s="18"/>
    </row>
    <row r="49" spans="1:5" x14ac:dyDescent="0.2">
      <c r="A49" s="19"/>
      <c r="B49" s="19"/>
      <c r="C49" s="18"/>
      <c r="D49" s="18"/>
      <c r="E49" s="18"/>
    </row>
  </sheetData>
  <phoneticPr fontId="3" type="noConversion"/>
  <pageMargins left="0.7" right="0.7" top="1" bottom="6.5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55"/>
  <sheetViews>
    <sheetView zoomScale="110" zoomScaleNormal="110" workbookViewId="0">
      <selection activeCell="B14" sqref="B14"/>
    </sheetView>
  </sheetViews>
  <sheetFormatPr defaultRowHeight="12.75" x14ac:dyDescent="0.2"/>
  <cols>
    <col min="1" max="1" width="10.5703125" customWidth="1"/>
    <col min="2" max="5" width="8.7109375" customWidth="1"/>
    <col min="6" max="11" width="10.5703125" customWidth="1"/>
  </cols>
  <sheetData>
    <row r="1" spans="1:7" x14ac:dyDescent="0.2">
      <c r="A1" s="10" t="s">
        <v>187</v>
      </c>
    </row>
    <row r="2" spans="1:7" x14ac:dyDescent="0.2">
      <c r="A2" s="22" t="s">
        <v>189</v>
      </c>
      <c r="B2" s="22" t="s">
        <v>190</v>
      </c>
      <c r="C2" s="148" t="s">
        <v>191</v>
      </c>
      <c r="D2" s="148"/>
      <c r="F2" s="10"/>
      <c r="G2" s="22"/>
    </row>
    <row r="3" spans="1:7" x14ac:dyDescent="0.2">
      <c r="A3" s="10"/>
      <c r="B3" s="10"/>
      <c r="C3" s="10" t="s">
        <v>192</v>
      </c>
      <c r="D3" s="10"/>
    </row>
    <row r="4" spans="1:7" x14ac:dyDescent="0.2">
      <c r="B4" s="10" t="s">
        <v>184</v>
      </c>
      <c r="C4" s="10"/>
      <c r="D4" s="10"/>
    </row>
    <row r="5" spans="1:7" ht="14.25" x14ac:dyDescent="0.2">
      <c r="A5" s="42" t="s">
        <v>55</v>
      </c>
      <c r="B5" s="151">
        <v>36.76</v>
      </c>
      <c r="C5" s="151">
        <f>52.294-B5</f>
        <v>15.533999999999999</v>
      </c>
      <c r="D5" s="150"/>
      <c r="F5" s="23"/>
      <c r="G5" s="25"/>
    </row>
    <row r="6" spans="1:7" ht="14.25" x14ac:dyDescent="0.2">
      <c r="A6" s="42" t="s">
        <v>56</v>
      </c>
      <c r="B6" s="151">
        <v>42.381999999999998</v>
      </c>
      <c r="C6" s="151">
        <f>58.429-B6</f>
        <v>16.047000000000004</v>
      </c>
      <c r="D6" s="150"/>
      <c r="F6" s="23"/>
      <c r="G6" s="25"/>
    </row>
    <row r="7" spans="1:7" ht="14.25" x14ac:dyDescent="0.2">
      <c r="A7" s="42" t="s">
        <v>67</v>
      </c>
      <c r="B7" s="151">
        <v>46.509</v>
      </c>
      <c r="C7" s="151">
        <f>63.193-B7</f>
        <v>16.683999999999997</v>
      </c>
      <c r="D7" s="150"/>
    </row>
    <row r="8" spans="1:7" ht="14.25" x14ac:dyDescent="0.2">
      <c r="A8" s="42" t="s">
        <v>91</v>
      </c>
      <c r="B8" s="151">
        <v>49.180999999999997</v>
      </c>
      <c r="C8" s="151">
        <f>65.885-B8</f>
        <v>16.704000000000008</v>
      </c>
      <c r="D8" s="150"/>
    </row>
    <row r="9" spans="1:7" ht="14.25" x14ac:dyDescent="0.2">
      <c r="A9" s="42" t="s">
        <v>99</v>
      </c>
      <c r="B9" s="151">
        <v>51.612000000000002</v>
      </c>
      <c r="C9" s="151">
        <f>69.292-B9</f>
        <v>17.68</v>
      </c>
      <c r="D9" s="150"/>
    </row>
    <row r="10" spans="1:7" ht="14.25" x14ac:dyDescent="0.2">
      <c r="A10" s="42" t="s">
        <v>102</v>
      </c>
      <c r="B10" s="151">
        <v>56.487000000000002</v>
      </c>
      <c r="C10" s="151">
        <f>73.523-B10</f>
        <v>17.035999999999994</v>
      </c>
      <c r="D10" s="150"/>
    </row>
    <row r="11" spans="1:7" ht="14.25" x14ac:dyDescent="0.2">
      <c r="A11" s="42" t="s">
        <v>103</v>
      </c>
      <c r="B11" s="151">
        <v>61.662999999999997</v>
      </c>
      <c r="C11" s="151">
        <f>77.935-B11</f>
        <v>16.272000000000006</v>
      </c>
      <c r="D11" s="150"/>
    </row>
    <row r="12" spans="1:7" ht="14.25" x14ac:dyDescent="0.2">
      <c r="A12" s="42" t="s">
        <v>119</v>
      </c>
      <c r="B12" s="151">
        <v>67.596000000000004</v>
      </c>
      <c r="C12" s="151">
        <f>85.131-B12</f>
        <v>17.534999999999997</v>
      </c>
      <c r="D12" s="150"/>
    </row>
    <row r="13" spans="1:7" ht="14.25" x14ac:dyDescent="0.2">
      <c r="A13" s="42" t="s">
        <v>121</v>
      </c>
      <c r="B13" s="151">
        <v>69.2</v>
      </c>
      <c r="C13" s="151">
        <f>87.479-B13</f>
        <v>18.278999999999996</v>
      </c>
      <c r="D13" s="150"/>
    </row>
    <row r="14" spans="1:7" ht="14.25" x14ac:dyDescent="0.2">
      <c r="A14" s="42" t="s">
        <v>182</v>
      </c>
      <c r="B14" s="151">
        <v>71.239999999999995</v>
      </c>
      <c r="C14" s="151">
        <f>89.53-B14</f>
        <v>18.290000000000006</v>
      </c>
      <c r="D14" s="150"/>
    </row>
    <row r="15" spans="1:7" x14ac:dyDescent="0.2">
      <c r="B15" s="151"/>
      <c r="C15" s="151"/>
      <c r="D15" s="150"/>
    </row>
    <row r="16" spans="1:7" x14ac:dyDescent="0.2">
      <c r="B16" s="151"/>
      <c r="C16" s="151"/>
      <c r="D16" s="150"/>
    </row>
    <row r="17" spans="1:9" x14ac:dyDescent="0.2">
      <c r="B17" s="151"/>
      <c r="C17" s="151"/>
      <c r="D17" s="150"/>
      <c r="H17" s="21"/>
      <c r="I17" s="21"/>
    </row>
    <row r="18" spans="1:9" x14ac:dyDescent="0.2">
      <c r="B18" s="151"/>
      <c r="C18" s="151"/>
      <c r="D18" s="150"/>
      <c r="H18" s="13"/>
    </row>
    <row r="19" spans="1:9" x14ac:dyDescent="0.2">
      <c r="B19" s="151"/>
      <c r="C19" s="151"/>
      <c r="D19" s="150"/>
      <c r="H19" s="13"/>
    </row>
    <row r="20" spans="1:9" x14ac:dyDescent="0.2">
      <c r="B20" s="151"/>
      <c r="C20" s="151"/>
      <c r="D20" s="150"/>
      <c r="H20" s="13"/>
    </row>
    <row r="21" spans="1:9" x14ac:dyDescent="0.2">
      <c r="B21" s="151"/>
      <c r="C21" s="151"/>
      <c r="D21" s="150"/>
      <c r="H21" s="13"/>
    </row>
    <row r="22" spans="1:9" x14ac:dyDescent="0.2">
      <c r="B22" s="151"/>
      <c r="C22" s="151"/>
      <c r="D22" s="150"/>
      <c r="H22" s="13"/>
    </row>
    <row r="23" spans="1:9" x14ac:dyDescent="0.2">
      <c r="B23" s="151"/>
      <c r="C23" s="151"/>
      <c r="D23" s="150"/>
      <c r="H23" s="13"/>
    </row>
    <row r="24" spans="1:9" x14ac:dyDescent="0.2">
      <c r="A24" s="149"/>
      <c r="B24" s="150"/>
      <c r="C24" s="150"/>
      <c r="D24" s="150"/>
      <c r="H24" s="13"/>
    </row>
    <row r="25" spans="1:9" x14ac:dyDescent="0.2">
      <c r="A25" s="149"/>
      <c r="B25" s="150"/>
      <c r="C25" s="150"/>
      <c r="D25" s="150"/>
      <c r="H25" s="13"/>
    </row>
    <row r="26" spans="1:9" x14ac:dyDescent="0.2">
      <c r="A26" s="149"/>
      <c r="B26" s="150"/>
      <c r="C26" s="150"/>
      <c r="D26" s="150"/>
      <c r="H26" s="13"/>
    </row>
    <row r="27" spans="1:9" x14ac:dyDescent="0.2">
      <c r="A27" s="149"/>
      <c r="B27" s="150"/>
      <c r="C27" s="150"/>
      <c r="D27" s="150"/>
      <c r="H27" s="13"/>
    </row>
    <row r="28" spans="1:9" x14ac:dyDescent="0.2">
      <c r="A28" s="149"/>
      <c r="B28" s="150"/>
      <c r="C28" s="150"/>
      <c r="D28" s="150"/>
      <c r="H28" s="13"/>
    </row>
    <row r="29" spans="1:9" x14ac:dyDescent="0.2">
      <c r="A29" s="149"/>
      <c r="B29" s="150"/>
      <c r="C29" s="150"/>
      <c r="D29" s="150"/>
      <c r="H29" s="13"/>
    </row>
    <row r="30" spans="1:9" x14ac:dyDescent="0.2">
      <c r="A30" s="149"/>
      <c r="B30" s="150"/>
      <c r="C30" s="150"/>
      <c r="D30" s="150"/>
    </row>
    <row r="31" spans="1:9" x14ac:dyDescent="0.2">
      <c r="A31" s="149"/>
      <c r="B31" s="150"/>
      <c r="C31" s="150"/>
      <c r="D31" s="150"/>
    </row>
    <row r="32" spans="1:9" x14ac:dyDescent="0.2">
      <c r="A32" s="149"/>
      <c r="B32" s="150"/>
      <c r="C32" s="150"/>
      <c r="D32" s="150"/>
    </row>
    <row r="33" spans="1:4" x14ac:dyDescent="0.2">
      <c r="A33" s="149"/>
      <c r="B33" s="150"/>
      <c r="C33" s="150"/>
      <c r="D33" s="150"/>
    </row>
    <row r="34" spans="1:4" x14ac:dyDescent="0.2">
      <c r="A34" s="149"/>
      <c r="B34" s="150"/>
      <c r="C34" s="150"/>
      <c r="D34" s="150"/>
    </row>
    <row r="35" spans="1:4" x14ac:dyDescent="0.2">
      <c r="A35" s="149"/>
      <c r="B35" s="150"/>
      <c r="C35" s="150"/>
      <c r="D35" s="150"/>
    </row>
    <row r="36" spans="1:4" x14ac:dyDescent="0.2">
      <c r="A36" s="149"/>
      <c r="B36" s="150"/>
      <c r="C36" s="150"/>
      <c r="D36" s="150"/>
    </row>
    <row r="37" spans="1:4" x14ac:dyDescent="0.2">
      <c r="A37" s="149"/>
      <c r="B37" s="150"/>
      <c r="C37" s="150"/>
      <c r="D37" s="150"/>
    </row>
    <row r="38" spans="1:4" x14ac:dyDescent="0.2">
      <c r="A38" s="149"/>
      <c r="B38" s="150"/>
      <c r="C38" s="150"/>
      <c r="D38" s="150"/>
    </row>
    <row r="39" spans="1:4" x14ac:dyDescent="0.2">
      <c r="A39" s="149"/>
      <c r="B39" s="150"/>
      <c r="C39" s="150"/>
      <c r="D39" s="150"/>
    </row>
    <row r="40" spans="1:4" x14ac:dyDescent="0.2">
      <c r="A40" s="149"/>
      <c r="B40" s="150"/>
      <c r="C40" s="150"/>
      <c r="D40" s="150"/>
    </row>
    <row r="41" spans="1:4" x14ac:dyDescent="0.2">
      <c r="A41" s="149"/>
      <c r="B41" s="150"/>
      <c r="C41" s="150"/>
      <c r="D41" s="150"/>
    </row>
    <row r="42" spans="1:4" x14ac:dyDescent="0.2">
      <c r="A42" s="149"/>
      <c r="B42" s="150"/>
      <c r="C42" s="150"/>
      <c r="D42" s="150"/>
    </row>
    <row r="43" spans="1:4" x14ac:dyDescent="0.2">
      <c r="A43" s="149"/>
      <c r="B43" s="150"/>
      <c r="C43" s="150"/>
      <c r="D43" s="150"/>
    </row>
    <row r="44" spans="1:4" x14ac:dyDescent="0.2">
      <c r="A44" s="149"/>
      <c r="B44" s="150"/>
      <c r="C44" s="150"/>
      <c r="D44" s="150"/>
    </row>
    <row r="45" spans="1:4" x14ac:dyDescent="0.2">
      <c r="A45" s="149"/>
      <c r="B45" s="150"/>
      <c r="C45" s="150"/>
      <c r="D45" s="150"/>
    </row>
    <row r="46" spans="1:4" x14ac:dyDescent="0.2">
      <c r="A46" s="149"/>
      <c r="B46" s="150"/>
      <c r="C46" s="150"/>
      <c r="D46" s="150"/>
    </row>
    <row r="47" spans="1:4" x14ac:dyDescent="0.2">
      <c r="A47" s="149"/>
      <c r="B47" s="150"/>
      <c r="C47" s="150"/>
      <c r="D47" s="150"/>
    </row>
    <row r="48" spans="1:4" x14ac:dyDescent="0.2">
      <c r="A48" s="149"/>
      <c r="B48" s="150"/>
      <c r="C48" s="150"/>
      <c r="D48" s="150"/>
    </row>
    <row r="49" spans="1:4" x14ac:dyDescent="0.2">
      <c r="A49" s="149"/>
      <c r="B49" s="150"/>
      <c r="C49" s="150"/>
      <c r="D49" s="150"/>
    </row>
    <row r="50" spans="1:4" x14ac:dyDescent="0.2">
      <c r="A50" s="149"/>
      <c r="B50" s="150"/>
      <c r="C50" s="150"/>
      <c r="D50" s="150"/>
    </row>
    <row r="51" spans="1:4" x14ac:dyDescent="0.2">
      <c r="A51" s="149"/>
      <c r="B51" s="150"/>
      <c r="C51" s="150"/>
      <c r="D51" s="150"/>
    </row>
    <row r="52" spans="1:4" x14ac:dyDescent="0.2">
      <c r="A52" s="149"/>
      <c r="B52" s="150"/>
      <c r="C52" s="150"/>
      <c r="D52" s="150"/>
    </row>
    <row r="53" spans="1:4" x14ac:dyDescent="0.2">
      <c r="A53" s="149"/>
      <c r="B53" s="150"/>
      <c r="C53" s="150"/>
      <c r="D53" s="150"/>
    </row>
    <row r="54" spans="1:4" x14ac:dyDescent="0.2">
      <c r="A54" s="149"/>
      <c r="B54" s="150"/>
      <c r="C54" s="150"/>
      <c r="D54" s="150"/>
    </row>
    <row r="55" spans="1:4" x14ac:dyDescent="0.2">
      <c r="A55" s="149"/>
      <c r="B55" s="150"/>
      <c r="C55" s="150"/>
      <c r="D55" s="150"/>
    </row>
    <row r="56" spans="1:4" x14ac:dyDescent="0.2">
      <c r="A56" s="149"/>
      <c r="B56" s="150"/>
      <c r="C56" s="150"/>
      <c r="D56" s="150"/>
    </row>
    <row r="57" spans="1:4" x14ac:dyDescent="0.2">
      <c r="A57" s="149"/>
      <c r="B57" s="150"/>
      <c r="C57" s="150"/>
      <c r="D57" s="150"/>
    </row>
    <row r="58" spans="1:4" x14ac:dyDescent="0.2">
      <c r="A58" s="149"/>
      <c r="B58" s="150"/>
      <c r="C58" s="150"/>
      <c r="D58" s="150"/>
    </row>
    <row r="59" spans="1:4" x14ac:dyDescent="0.2">
      <c r="A59" s="149"/>
      <c r="B59" s="150"/>
      <c r="C59" s="150"/>
      <c r="D59" s="150"/>
    </row>
    <row r="60" spans="1:4" x14ac:dyDescent="0.2">
      <c r="A60" s="149"/>
      <c r="B60" s="150"/>
      <c r="C60" s="150"/>
      <c r="D60" s="150"/>
    </row>
    <row r="61" spans="1:4" x14ac:dyDescent="0.2">
      <c r="A61" s="149"/>
      <c r="B61" s="150"/>
      <c r="C61" s="150"/>
      <c r="D61" s="150"/>
    </row>
    <row r="62" spans="1:4" x14ac:dyDescent="0.2">
      <c r="A62" s="149"/>
      <c r="B62" s="150"/>
      <c r="C62" s="150"/>
      <c r="D62" s="150"/>
    </row>
    <row r="63" spans="1:4" x14ac:dyDescent="0.2">
      <c r="A63" s="149"/>
      <c r="B63" s="150"/>
      <c r="C63" s="150"/>
      <c r="D63" s="150"/>
    </row>
    <row r="64" spans="1:4" x14ac:dyDescent="0.2">
      <c r="A64" s="149"/>
      <c r="B64" s="150"/>
      <c r="C64" s="150"/>
      <c r="D64" s="150"/>
    </row>
    <row r="65" spans="1:4" x14ac:dyDescent="0.2">
      <c r="A65" s="149"/>
      <c r="B65" s="150"/>
      <c r="C65" s="150"/>
      <c r="D65" s="150"/>
    </row>
    <row r="66" spans="1:4" x14ac:dyDescent="0.2">
      <c r="A66" s="149"/>
      <c r="B66" s="150"/>
      <c r="C66" s="150"/>
      <c r="D66" s="150"/>
    </row>
    <row r="67" spans="1:4" x14ac:dyDescent="0.2">
      <c r="A67" s="149"/>
      <c r="B67" s="150"/>
      <c r="C67" s="150"/>
      <c r="D67" s="150"/>
    </row>
    <row r="68" spans="1:4" x14ac:dyDescent="0.2">
      <c r="A68" s="149"/>
      <c r="B68" s="150"/>
      <c r="C68" s="150"/>
      <c r="D68" s="150"/>
    </row>
    <row r="69" spans="1:4" x14ac:dyDescent="0.2">
      <c r="A69" s="149"/>
      <c r="B69" s="150"/>
      <c r="C69" s="150"/>
      <c r="D69" s="150"/>
    </row>
    <row r="70" spans="1:4" x14ac:dyDescent="0.2">
      <c r="A70" s="149"/>
      <c r="B70" s="150"/>
      <c r="C70" s="150"/>
      <c r="D70" s="150"/>
    </row>
    <row r="71" spans="1:4" x14ac:dyDescent="0.2">
      <c r="A71" s="149"/>
      <c r="B71" s="150"/>
      <c r="C71" s="150"/>
      <c r="D71" s="150"/>
    </row>
    <row r="72" spans="1:4" x14ac:dyDescent="0.2">
      <c r="A72" s="149"/>
      <c r="B72" s="150"/>
      <c r="C72" s="150"/>
      <c r="D72" s="150"/>
    </row>
    <row r="73" spans="1:4" x14ac:dyDescent="0.2">
      <c r="A73" s="149"/>
      <c r="B73" s="150"/>
      <c r="C73" s="150"/>
      <c r="D73" s="150"/>
    </row>
    <row r="74" spans="1:4" x14ac:dyDescent="0.2">
      <c r="A74" s="149"/>
      <c r="B74" s="150"/>
      <c r="C74" s="150"/>
      <c r="D74" s="150"/>
    </row>
    <row r="75" spans="1:4" x14ac:dyDescent="0.2">
      <c r="A75" s="149"/>
      <c r="B75" s="150"/>
      <c r="C75" s="150"/>
      <c r="D75" s="150"/>
    </row>
    <row r="76" spans="1:4" x14ac:dyDescent="0.2">
      <c r="A76" s="149"/>
      <c r="B76" s="150"/>
      <c r="C76" s="150"/>
      <c r="D76" s="150"/>
    </row>
    <row r="77" spans="1:4" x14ac:dyDescent="0.2">
      <c r="A77" s="149"/>
      <c r="B77" s="150"/>
      <c r="C77" s="150"/>
      <c r="D77" s="150"/>
    </row>
    <row r="78" spans="1:4" x14ac:dyDescent="0.2">
      <c r="A78" s="149"/>
      <c r="B78" s="150"/>
      <c r="C78" s="150"/>
      <c r="D78" s="150"/>
    </row>
    <row r="79" spans="1:4" x14ac:dyDescent="0.2">
      <c r="A79" s="149"/>
      <c r="B79" s="150"/>
      <c r="C79" s="150"/>
      <c r="D79" s="150"/>
    </row>
    <row r="80" spans="1:4" x14ac:dyDescent="0.2">
      <c r="A80" s="149"/>
      <c r="B80" s="150"/>
      <c r="C80" s="150"/>
      <c r="D80" s="150"/>
    </row>
    <row r="81" spans="1:4" x14ac:dyDescent="0.2">
      <c r="A81" s="149"/>
      <c r="B81" s="150"/>
      <c r="C81" s="150"/>
      <c r="D81" s="150"/>
    </row>
    <row r="82" spans="1:4" x14ac:dyDescent="0.2">
      <c r="A82" s="149"/>
      <c r="B82" s="150"/>
      <c r="C82" s="150"/>
      <c r="D82" s="150"/>
    </row>
    <row r="83" spans="1:4" x14ac:dyDescent="0.2">
      <c r="A83" s="149"/>
      <c r="B83" s="150"/>
      <c r="C83" s="150"/>
      <c r="D83" s="150"/>
    </row>
    <row r="84" spans="1:4" x14ac:dyDescent="0.2">
      <c r="A84" s="149"/>
      <c r="B84" s="150"/>
      <c r="C84" s="150"/>
      <c r="D84" s="150"/>
    </row>
    <row r="85" spans="1:4" x14ac:dyDescent="0.2">
      <c r="A85" s="149"/>
      <c r="B85" s="150"/>
      <c r="C85" s="150"/>
      <c r="D85" s="150"/>
    </row>
    <row r="86" spans="1:4" x14ac:dyDescent="0.2">
      <c r="A86" s="149"/>
      <c r="B86" s="150"/>
      <c r="C86" s="150"/>
      <c r="D86" s="150"/>
    </row>
    <row r="87" spans="1:4" x14ac:dyDescent="0.2">
      <c r="A87" s="149"/>
      <c r="B87" s="150"/>
      <c r="C87" s="150"/>
      <c r="D87" s="150"/>
    </row>
    <row r="88" spans="1:4" x14ac:dyDescent="0.2">
      <c r="A88" s="149"/>
      <c r="B88" s="150"/>
      <c r="C88" s="150"/>
      <c r="D88" s="150"/>
    </row>
    <row r="89" spans="1:4" x14ac:dyDescent="0.2">
      <c r="A89" s="149"/>
      <c r="B89" s="150"/>
      <c r="C89" s="150"/>
      <c r="D89" s="150"/>
    </row>
    <row r="90" spans="1:4" x14ac:dyDescent="0.2">
      <c r="A90" s="149"/>
      <c r="B90" s="150"/>
      <c r="C90" s="150"/>
      <c r="D90" s="150"/>
    </row>
    <row r="91" spans="1:4" x14ac:dyDescent="0.2">
      <c r="A91" s="149"/>
      <c r="B91" s="150"/>
      <c r="C91" s="150"/>
      <c r="D91" s="150"/>
    </row>
    <row r="92" spans="1:4" x14ac:dyDescent="0.2">
      <c r="A92" s="149"/>
      <c r="B92" s="150"/>
      <c r="C92" s="150"/>
      <c r="D92" s="150"/>
    </row>
    <row r="93" spans="1:4" x14ac:dyDescent="0.2">
      <c r="A93" s="149"/>
      <c r="B93" s="150"/>
      <c r="C93" s="150"/>
      <c r="D93" s="150"/>
    </row>
    <row r="94" spans="1:4" x14ac:dyDescent="0.2">
      <c r="A94" s="149"/>
      <c r="B94" s="150"/>
      <c r="C94" s="150"/>
      <c r="D94" s="150"/>
    </row>
    <row r="95" spans="1:4" x14ac:dyDescent="0.2">
      <c r="A95" s="149"/>
      <c r="B95" s="150"/>
      <c r="C95" s="150"/>
      <c r="D95" s="150"/>
    </row>
    <row r="96" spans="1:4" x14ac:dyDescent="0.2">
      <c r="A96" s="149"/>
      <c r="B96" s="150"/>
      <c r="C96" s="150"/>
      <c r="D96" s="150"/>
    </row>
    <row r="97" spans="1:4" x14ac:dyDescent="0.2">
      <c r="A97" s="149"/>
      <c r="B97" s="150"/>
      <c r="C97" s="150"/>
      <c r="D97" s="150"/>
    </row>
    <row r="98" spans="1:4" x14ac:dyDescent="0.2">
      <c r="A98" s="149"/>
      <c r="B98" s="150"/>
      <c r="C98" s="150"/>
      <c r="D98" s="150"/>
    </row>
    <row r="99" spans="1:4" x14ac:dyDescent="0.2">
      <c r="A99" s="149"/>
      <c r="B99" s="150"/>
      <c r="C99" s="150"/>
      <c r="D99" s="150"/>
    </row>
    <row r="100" spans="1:4" x14ac:dyDescent="0.2">
      <c r="A100" s="149"/>
      <c r="B100" s="150"/>
      <c r="C100" s="150"/>
      <c r="D100" s="150"/>
    </row>
    <row r="101" spans="1:4" x14ac:dyDescent="0.2">
      <c r="A101" s="149"/>
      <c r="B101" s="150"/>
      <c r="C101" s="150"/>
      <c r="D101" s="150"/>
    </row>
    <row r="102" spans="1:4" x14ac:dyDescent="0.2">
      <c r="A102" s="149"/>
      <c r="B102" s="150"/>
      <c r="C102" s="150"/>
      <c r="D102" s="150"/>
    </row>
    <row r="103" spans="1:4" x14ac:dyDescent="0.2">
      <c r="A103" s="149"/>
      <c r="B103" s="150"/>
      <c r="C103" s="150"/>
      <c r="D103" s="150"/>
    </row>
    <row r="104" spans="1:4" x14ac:dyDescent="0.2">
      <c r="A104" s="149"/>
      <c r="B104" s="150"/>
      <c r="C104" s="150"/>
      <c r="D104" s="150"/>
    </row>
    <row r="105" spans="1:4" x14ac:dyDescent="0.2">
      <c r="A105" s="149"/>
      <c r="B105" s="150"/>
      <c r="C105" s="150"/>
      <c r="D105" s="150"/>
    </row>
    <row r="106" spans="1:4" x14ac:dyDescent="0.2">
      <c r="A106" s="149"/>
      <c r="B106" s="150"/>
      <c r="C106" s="150"/>
      <c r="D106" s="150"/>
    </row>
    <row r="107" spans="1:4" x14ac:dyDescent="0.2">
      <c r="A107" s="149"/>
      <c r="B107" s="150"/>
      <c r="C107" s="150"/>
      <c r="D107" s="150"/>
    </row>
    <row r="108" spans="1:4" x14ac:dyDescent="0.2">
      <c r="A108" s="149"/>
      <c r="B108" s="150"/>
      <c r="C108" s="150"/>
      <c r="D108" s="150"/>
    </row>
    <row r="109" spans="1:4" x14ac:dyDescent="0.2">
      <c r="A109" s="149"/>
      <c r="B109" s="150"/>
      <c r="C109" s="150"/>
      <c r="D109" s="150"/>
    </row>
    <row r="110" spans="1:4" x14ac:dyDescent="0.2">
      <c r="A110" s="149"/>
      <c r="B110" s="150"/>
      <c r="C110" s="150"/>
      <c r="D110" s="150"/>
    </row>
    <row r="111" spans="1:4" x14ac:dyDescent="0.2">
      <c r="A111" s="149"/>
      <c r="B111" s="150"/>
      <c r="C111" s="150"/>
      <c r="D111" s="150"/>
    </row>
    <row r="112" spans="1:4" x14ac:dyDescent="0.2">
      <c r="A112" s="149"/>
      <c r="B112" s="150"/>
      <c r="C112" s="150"/>
      <c r="D112" s="150"/>
    </row>
    <row r="113" spans="1:4" x14ac:dyDescent="0.2">
      <c r="A113" s="149"/>
      <c r="B113" s="150"/>
      <c r="C113" s="150"/>
      <c r="D113" s="150"/>
    </row>
    <row r="114" spans="1:4" x14ac:dyDescent="0.2">
      <c r="A114" s="149"/>
      <c r="B114" s="150"/>
      <c r="C114" s="150"/>
      <c r="D114" s="150"/>
    </row>
    <row r="115" spans="1:4" x14ac:dyDescent="0.2">
      <c r="A115" s="149"/>
      <c r="B115" s="150"/>
      <c r="C115" s="150"/>
      <c r="D115" s="150"/>
    </row>
    <row r="116" spans="1:4" x14ac:dyDescent="0.2">
      <c r="A116" s="149"/>
      <c r="B116" s="150"/>
      <c r="C116" s="150"/>
      <c r="D116" s="150"/>
    </row>
    <row r="117" spans="1:4" x14ac:dyDescent="0.2">
      <c r="A117" s="149"/>
      <c r="B117" s="150"/>
      <c r="C117" s="150"/>
      <c r="D117" s="150"/>
    </row>
    <row r="118" spans="1:4" x14ac:dyDescent="0.2">
      <c r="A118" s="149"/>
      <c r="B118" s="150"/>
      <c r="C118" s="150"/>
      <c r="D118" s="150"/>
    </row>
    <row r="119" spans="1:4" x14ac:dyDescent="0.2">
      <c r="A119" s="149"/>
      <c r="B119" s="150"/>
      <c r="C119" s="150"/>
      <c r="D119" s="150"/>
    </row>
    <row r="120" spans="1:4" x14ac:dyDescent="0.2">
      <c r="A120" s="149"/>
      <c r="B120" s="150"/>
      <c r="C120" s="150"/>
      <c r="D120" s="150"/>
    </row>
    <row r="121" spans="1:4" x14ac:dyDescent="0.2">
      <c r="A121" s="149"/>
      <c r="B121" s="150"/>
      <c r="C121" s="150"/>
      <c r="D121" s="150"/>
    </row>
    <row r="122" spans="1:4" x14ac:dyDescent="0.2">
      <c r="A122" s="149"/>
      <c r="B122" s="150"/>
      <c r="C122" s="150"/>
      <c r="D122" s="150"/>
    </row>
    <row r="123" spans="1:4" x14ac:dyDescent="0.2">
      <c r="A123" s="149"/>
      <c r="B123" s="150"/>
      <c r="C123" s="150"/>
      <c r="D123" s="150"/>
    </row>
    <row r="124" spans="1:4" x14ac:dyDescent="0.2">
      <c r="A124" s="149"/>
      <c r="B124" s="150"/>
      <c r="C124" s="150"/>
      <c r="D124" s="150"/>
    </row>
    <row r="125" spans="1:4" x14ac:dyDescent="0.2">
      <c r="A125" s="149"/>
      <c r="B125" s="150"/>
      <c r="C125" s="150"/>
      <c r="D125" s="150"/>
    </row>
    <row r="126" spans="1:4" x14ac:dyDescent="0.2">
      <c r="A126" s="149"/>
      <c r="B126" s="150"/>
      <c r="C126" s="150"/>
      <c r="D126" s="150"/>
    </row>
    <row r="127" spans="1:4" x14ac:dyDescent="0.2">
      <c r="A127" s="149"/>
      <c r="B127" s="150"/>
      <c r="C127" s="150"/>
      <c r="D127" s="150"/>
    </row>
    <row r="128" spans="1:4" x14ac:dyDescent="0.2">
      <c r="A128" s="149"/>
      <c r="B128" s="150"/>
      <c r="C128" s="150"/>
      <c r="D128" s="150"/>
    </row>
    <row r="129" spans="1:4" x14ac:dyDescent="0.2">
      <c r="A129" s="149"/>
      <c r="B129" s="150"/>
      <c r="C129" s="150"/>
      <c r="D129" s="150"/>
    </row>
    <row r="130" spans="1:4" x14ac:dyDescent="0.2">
      <c r="A130" s="149"/>
      <c r="B130" s="150"/>
      <c r="C130" s="150"/>
      <c r="D130" s="150"/>
    </row>
    <row r="131" spans="1:4" x14ac:dyDescent="0.2">
      <c r="A131" s="149"/>
      <c r="B131" s="150"/>
      <c r="C131" s="150"/>
      <c r="D131" s="150"/>
    </row>
    <row r="132" spans="1:4" x14ac:dyDescent="0.2">
      <c r="A132" s="149"/>
      <c r="B132" s="150"/>
      <c r="C132" s="150"/>
      <c r="D132" s="150"/>
    </row>
    <row r="133" spans="1:4" x14ac:dyDescent="0.2">
      <c r="A133" s="149"/>
      <c r="B133" s="150"/>
      <c r="C133" s="150"/>
      <c r="D133" s="150"/>
    </row>
    <row r="134" spans="1:4" x14ac:dyDescent="0.2">
      <c r="A134" s="149"/>
      <c r="B134" s="150"/>
      <c r="C134" s="150"/>
      <c r="D134" s="150"/>
    </row>
    <row r="135" spans="1:4" x14ac:dyDescent="0.2">
      <c r="A135" s="149"/>
      <c r="B135" s="150"/>
      <c r="C135" s="150"/>
      <c r="D135" s="150"/>
    </row>
    <row r="136" spans="1:4" x14ac:dyDescent="0.2">
      <c r="A136" s="149"/>
      <c r="B136" s="150"/>
      <c r="C136" s="150"/>
      <c r="D136" s="150"/>
    </row>
    <row r="137" spans="1:4" x14ac:dyDescent="0.2">
      <c r="A137" s="149"/>
      <c r="B137" s="150"/>
      <c r="C137" s="150"/>
      <c r="D137" s="150"/>
    </row>
    <row r="138" spans="1:4" x14ac:dyDescent="0.2">
      <c r="A138" s="149"/>
      <c r="B138" s="150"/>
      <c r="C138" s="150"/>
      <c r="D138" s="150"/>
    </row>
    <row r="139" spans="1:4" x14ac:dyDescent="0.2">
      <c r="A139" s="149"/>
      <c r="B139" s="150"/>
      <c r="C139" s="150"/>
      <c r="D139" s="150"/>
    </row>
    <row r="140" spans="1:4" x14ac:dyDescent="0.2">
      <c r="A140" s="149"/>
      <c r="B140" s="150"/>
      <c r="C140" s="150"/>
      <c r="D140" s="150"/>
    </row>
    <row r="141" spans="1:4" x14ac:dyDescent="0.2">
      <c r="A141" s="149"/>
      <c r="B141" s="150"/>
      <c r="C141" s="150"/>
      <c r="D141" s="150"/>
    </row>
    <row r="142" spans="1:4" x14ac:dyDescent="0.2">
      <c r="A142" s="149"/>
      <c r="B142" s="150"/>
      <c r="C142" s="150"/>
      <c r="D142" s="150"/>
    </row>
    <row r="143" spans="1:4" x14ac:dyDescent="0.2">
      <c r="A143" s="149"/>
      <c r="B143" s="150"/>
      <c r="C143" s="150"/>
      <c r="D143" s="150"/>
    </row>
    <row r="144" spans="1:4" x14ac:dyDescent="0.2">
      <c r="A144" s="149"/>
      <c r="B144" s="150"/>
      <c r="C144" s="150"/>
      <c r="D144" s="150"/>
    </row>
    <row r="145" spans="1:4" x14ac:dyDescent="0.2">
      <c r="A145" s="149"/>
      <c r="B145" s="150"/>
      <c r="C145" s="150"/>
      <c r="D145" s="150"/>
    </row>
    <row r="146" spans="1:4" x14ac:dyDescent="0.2">
      <c r="A146" s="149"/>
      <c r="B146" s="150"/>
      <c r="C146" s="150"/>
      <c r="D146" s="150"/>
    </row>
    <row r="147" spans="1:4" x14ac:dyDescent="0.2">
      <c r="A147" s="149"/>
      <c r="B147" s="150"/>
      <c r="C147" s="150"/>
      <c r="D147" s="150"/>
    </row>
    <row r="148" spans="1:4" x14ac:dyDescent="0.2">
      <c r="A148" s="149"/>
      <c r="B148" s="150"/>
      <c r="C148" s="150"/>
      <c r="D148" s="150"/>
    </row>
    <row r="149" spans="1:4" x14ac:dyDescent="0.2">
      <c r="A149" s="149"/>
      <c r="B149" s="150"/>
      <c r="C149" s="150"/>
      <c r="D149" s="150"/>
    </row>
    <row r="150" spans="1:4" x14ac:dyDescent="0.2">
      <c r="A150" s="149"/>
      <c r="B150" s="150"/>
      <c r="C150" s="150"/>
      <c r="D150" s="150"/>
    </row>
    <row r="151" spans="1:4" x14ac:dyDescent="0.2">
      <c r="A151" s="149"/>
      <c r="B151" s="150"/>
      <c r="C151" s="150"/>
      <c r="D151" s="150"/>
    </row>
    <row r="152" spans="1:4" x14ac:dyDescent="0.2">
      <c r="A152" s="149"/>
      <c r="B152" s="150"/>
      <c r="C152" s="150"/>
      <c r="D152" s="150"/>
    </row>
    <row r="153" spans="1:4" x14ac:dyDescent="0.2">
      <c r="A153" s="149"/>
      <c r="B153" s="150"/>
      <c r="C153" s="150"/>
      <c r="D153" s="150"/>
    </row>
    <row r="154" spans="1:4" x14ac:dyDescent="0.2">
      <c r="A154" s="149"/>
      <c r="B154" s="150"/>
      <c r="C154" s="150"/>
      <c r="D154" s="150"/>
    </row>
    <row r="155" spans="1:4" x14ac:dyDescent="0.2">
      <c r="A155" s="149"/>
      <c r="B155" s="150"/>
      <c r="C155" s="150"/>
      <c r="D155" s="150"/>
    </row>
    <row r="156" spans="1:4" x14ac:dyDescent="0.2">
      <c r="A156" s="149"/>
      <c r="B156" s="150"/>
      <c r="C156" s="150"/>
      <c r="D156" s="150"/>
    </row>
    <row r="157" spans="1:4" x14ac:dyDescent="0.2">
      <c r="A157" s="149"/>
      <c r="B157" s="150"/>
      <c r="C157" s="150"/>
      <c r="D157" s="150"/>
    </row>
    <row r="158" spans="1:4" x14ac:dyDescent="0.2">
      <c r="A158" s="149"/>
      <c r="B158" s="150"/>
      <c r="C158" s="150"/>
      <c r="D158" s="150"/>
    </row>
    <row r="159" spans="1:4" x14ac:dyDescent="0.2">
      <c r="A159" s="149"/>
      <c r="B159" s="150"/>
      <c r="C159" s="150"/>
      <c r="D159" s="150"/>
    </row>
    <row r="160" spans="1:4" x14ac:dyDescent="0.2">
      <c r="A160" s="149"/>
      <c r="B160" s="150"/>
      <c r="C160" s="150"/>
      <c r="D160" s="150"/>
    </row>
    <row r="161" spans="1:4" x14ac:dyDescent="0.2">
      <c r="A161" s="149"/>
      <c r="B161" s="150"/>
      <c r="C161" s="150"/>
      <c r="D161" s="150"/>
    </row>
    <row r="162" spans="1:4" x14ac:dyDescent="0.2">
      <c r="A162" s="149"/>
      <c r="B162" s="150"/>
      <c r="C162" s="150"/>
      <c r="D162" s="150"/>
    </row>
    <row r="163" spans="1:4" x14ac:dyDescent="0.2">
      <c r="A163" s="149"/>
      <c r="B163" s="150"/>
      <c r="C163" s="150"/>
      <c r="D163" s="150"/>
    </row>
    <row r="164" spans="1:4" x14ac:dyDescent="0.2">
      <c r="A164" s="149"/>
      <c r="B164" s="150"/>
      <c r="C164" s="150"/>
      <c r="D164" s="150"/>
    </row>
    <row r="165" spans="1:4" x14ac:dyDescent="0.2">
      <c r="A165" s="149"/>
      <c r="B165" s="150"/>
      <c r="C165" s="150"/>
      <c r="D165" s="150"/>
    </row>
    <row r="166" spans="1:4" x14ac:dyDescent="0.2">
      <c r="A166" s="149"/>
      <c r="B166" s="150"/>
      <c r="C166" s="150"/>
      <c r="D166" s="150"/>
    </row>
    <row r="167" spans="1:4" x14ac:dyDescent="0.2">
      <c r="A167" s="149"/>
      <c r="B167" s="150"/>
      <c r="C167" s="150"/>
      <c r="D167" s="150"/>
    </row>
    <row r="168" spans="1:4" x14ac:dyDescent="0.2">
      <c r="A168" s="149"/>
      <c r="B168" s="150"/>
      <c r="C168" s="150"/>
      <c r="D168" s="150"/>
    </row>
    <row r="169" spans="1:4" x14ac:dyDescent="0.2">
      <c r="A169" s="149"/>
      <c r="B169" s="150"/>
      <c r="C169" s="150"/>
      <c r="D169" s="150"/>
    </row>
    <row r="170" spans="1:4" x14ac:dyDescent="0.2">
      <c r="A170" s="149"/>
      <c r="B170" s="150"/>
      <c r="C170" s="150"/>
      <c r="D170" s="150"/>
    </row>
    <row r="171" spans="1:4" x14ac:dyDescent="0.2">
      <c r="A171" s="149"/>
      <c r="B171" s="150"/>
      <c r="C171" s="150"/>
      <c r="D171" s="150"/>
    </row>
    <row r="172" spans="1:4" x14ac:dyDescent="0.2">
      <c r="A172" s="149"/>
      <c r="B172" s="150"/>
      <c r="C172" s="150"/>
      <c r="D172" s="150"/>
    </row>
    <row r="173" spans="1:4" x14ac:dyDescent="0.2">
      <c r="A173" s="149"/>
      <c r="B173" s="150"/>
      <c r="C173" s="150"/>
      <c r="D173" s="150"/>
    </row>
    <row r="174" spans="1:4" x14ac:dyDescent="0.2">
      <c r="A174" s="149"/>
      <c r="B174" s="150"/>
      <c r="C174" s="150"/>
      <c r="D174" s="150"/>
    </row>
    <row r="175" spans="1:4" x14ac:dyDescent="0.2">
      <c r="A175" s="149"/>
      <c r="B175" s="150"/>
      <c r="C175" s="150"/>
      <c r="D175" s="150"/>
    </row>
    <row r="176" spans="1:4" x14ac:dyDescent="0.2">
      <c r="A176" s="149"/>
      <c r="B176" s="150"/>
      <c r="C176" s="150"/>
      <c r="D176" s="150"/>
    </row>
    <row r="177" spans="1:4" x14ac:dyDescent="0.2">
      <c r="A177" s="149"/>
      <c r="B177" s="150"/>
      <c r="C177" s="150"/>
      <c r="D177" s="150"/>
    </row>
    <row r="178" spans="1:4" x14ac:dyDescent="0.2">
      <c r="A178" s="149"/>
      <c r="B178" s="150"/>
      <c r="C178" s="150"/>
      <c r="D178" s="150"/>
    </row>
    <row r="179" spans="1:4" x14ac:dyDescent="0.2">
      <c r="A179" s="149"/>
      <c r="B179" s="150"/>
      <c r="C179" s="150"/>
      <c r="D179" s="150"/>
    </row>
    <row r="180" spans="1:4" x14ac:dyDescent="0.2">
      <c r="A180" s="149"/>
      <c r="B180" s="150"/>
      <c r="C180" s="150"/>
      <c r="D180" s="150"/>
    </row>
    <row r="181" spans="1:4" x14ac:dyDescent="0.2">
      <c r="A181" s="149"/>
      <c r="B181" s="150"/>
      <c r="C181" s="150"/>
      <c r="D181" s="150"/>
    </row>
    <row r="182" spans="1:4" x14ac:dyDescent="0.2">
      <c r="A182" s="149"/>
      <c r="B182" s="150"/>
      <c r="C182" s="150"/>
      <c r="D182" s="150"/>
    </row>
    <row r="183" spans="1:4" x14ac:dyDescent="0.2">
      <c r="A183" s="149"/>
      <c r="B183" s="150"/>
      <c r="C183" s="150"/>
      <c r="D183" s="150"/>
    </row>
    <row r="184" spans="1:4" x14ac:dyDescent="0.2">
      <c r="A184" s="149"/>
      <c r="B184" s="150"/>
      <c r="C184" s="150"/>
      <c r="D184" s="150"/>
    </row>
    <row r="185" spans="1:4" x14ac:dyDescent="0.2">
      <c r="A185" s="149"/>
      <c r="B185" s="150"/>
      <c r="C185" s="150"/>
      <c r="D185" s="150"/>
    </row>
    <row r="186" spans="1:4" x14ac:dyDescent="0.2">
      <c r="A186" s="149"/>
      <c r="B186" s="150"/>
      <c r="C186" s="150"/>
      <c r="D186" s="150"/>
    </row>
    <row r="187" spans="1:4" x14ac:dyDescent="0.2">
      <c r="A187" s="149"/>
      <c r="B187" s="150"/>
      <c r="C187" s="150"/>
      <c r="D187" s="150"/>
    </row>
    <row r="188" spans="1:4" x14ac:dyDescent="0.2">
      <c r="A188" s="149"/>
      <c r="B188" s="150"/>
      <c r="C188" s="150"/>
      <c r="D188" s="150"/>
    </row>
    <row r="189" spans="1:4" x14ac:dyDescent="0.2">
      <c r="A189" s="149"/>
      <c r="B189" s="150"/>
      <c r="C189" s="150"/>
      <c r="D189" s="150"/>
    </row>
    <row r="190" spans="1:4" x14ac:dyDescent="0.2">
      <c r="A190" s="149"/>
      <c r="B190" s="150"/>
      <c r="C190" s="150"/>
      <c r="D190" s="150"/>
    </row>
    <row r="191" spans="1:4" x14ac:dyDescent="0.2">
      <c r="A191" s="149"/>
      <c r="B191" s="150"/>
      <c r="C191" s="150"/>
      <c r="D191" s="150"/>
    </row>
    <row r="192" spans="1:4" x14ac:dyDescent="0.2">
      <c r="A192" s="149"/>
      <c r="B192" s="150"/>
      <c r="C192" s="150"/>
      <c r="D192" s="150"/>
    </row>
    <row r="193" spans="1:4" x14ac:dyDescent="0.2">
      <c r="A193" s="149"/>
      <c r="B193" s="150"/>
      <c r="C193" s="150"/>
      <c r="D193" s="150"/>
    </row>
    <row r="194" spans="1:4" x14ac:dyDescent="0.2">
      <c r="A194" s="149"/>
      <c r="B194" s="150"/>
      <c r="C194" s="150"/>
      <c r="D194" s="150"/>
    </row>
    <row r="195" spans="1:4" x14ac:dyDescent="0.2">
      <c r="A195" s="149"/>
      <c r="B195" s="150"/>
      <c r="C195" s="150"/>
      <c r="D195" s="150"/>
    </row>
    <row r="196" spans="1:4" x14ac:dyDescent="0.2">
      <c r="A196" s="149"/>
      <c r="B196" s="150"/>
      <c r="C196" s="150"/>
      <c r="D196" s="150"/>
    </row>
    <row r="197" spans="1:4" x14ac:dyDescent="0.2">
      <c r="A197" s="149"/>
      <c r="B197" s="150"/>
      <c r="C197" s="150"/>
      <c r="D197" s="150"/>
    </row>
    <row r="198" spans="1:4" x14ac:dyDescent="0.2">
      <c r="A198" s="149"/>
      <c r="B198" s="150"/>
      <c r="C198" s="150"/>
      <c r="D198" s="150"/>
    </row>
    <row r="199" spans="1:4" x14ac:dyDescent="0.2">
      <c r="A199" s="149"/>
      <c r="B199" s="150"/>
      <c r="C199" s="150"/>
      <c r="D199" s="150"/>
    </row>
    <row r="200" spans="1:4" x14ac:dyDescent="0.2">
      <c r="A200" s="149"/>
      <c r="B200" s="150"/>
      <c r="C200" s="150"/>
      <c r="D200" s="150"/>
    </row>
    <row r="201" spans="1:4" x14ac:dyDescent="0.2">
      <c r="A201" s="149"/>
      <c r="B201" s="150"/>
      <c r="C201" s="150"/>
      <c r="D201" s="150"/>
    </row>
    <row r="202" spans="1:4" x14ac:dyDescent="0.2">
      <c r="A202" s="149"/>
      <c r="B202" s="150"/>
      <c r="C202" s="150"/>
      <c r="D202" s="150"/>
    </row>
    <row r="203" spans="1:4" x14ac:dyDescent="0.2">
      <c r="A203" s="149"/>
      <c r="B203" s="150"/>
      <c r="C203" s="150"/>
      <c r="D203" s="150"/>
    </row>
    <row r="204" spans="1:4" x14ac:dyDescent="0.2">
      <c r="A204" s="149"/>
      <c r="B204" s="150"/>
      <c r="C204" s="150"/>
      <c r="D204" s="150"/>
    </row>
    <row r="205" spans="1:4" x14ac:dyDescent="0.2">
      <c r="A205" s="149"/>
      <c r="B205" s="150"/>
      <c r="C205" s="150"/>
      <c r="D205" s="150"/>
    </row>
    <row r="206" spans="1:4" x14ac:dyDescent="0.2">
      <c r="A206" s="149"/>
      <c r="B206" s="150"/>
      <c r="C206" s="150"/>
      <c r="D206" s="150"/>
    </row>
    <row r="207" spans="1:4" x14ac:dyDescent="0.2">
      <c r="A207" s="149"/>
      <c r="B207" s="150"/>
      <c r="C207" s="150"/>
      <c r="D207" s="150"/>
    </row>
    <row r="208" spans="1:4" x14ac:dyDescent="0.2">
      <c r="A208" s="149"/>
      <c r="B208" s="150"/>
      <c r="C208" s="150"/>
      <c r="D208" s="150"/>
    </row>
    <row r="209" spans="1:4" x14ac:dyDescent="0.2">
      <c r="A209" s="149"/>
      <c r="B209" s="150"/>
      <c r="C209" s="150"/>
      <c r="D209" s="150"/>
    </row>
    <row r="210" spans="1:4" x14ac:dyDescent="0.2">
      <c r="A210" s="149"/>
      <c r="B210" s="150"/>
      <c r="C210" s="150"/>
      <c r="D210" s="150"/>
    </row>
    <row r="211" spans="1:4" x14ac:dyDescent="0.2">
      <c r="A211" s="149"/>
      <c r="B211" s="150"/>
      <c r="C211" s="150"/>
      <c r="D211" s="150"/>
    </row>
    <row r="212" spans="1:4" x14ac:dyDescent="0.2">
      <c r="A212" s="149"/>
      <c r="B212" s="150"/>
      <c r="C212" s="150"/>
      <c r="D212" s="150"/>
    </row>
    <row r="213" spans="1:4" x14ac:dyDescent="0.2">
      <c r="A213" s="149"/>
      <c r="B213" s="150"/>
      <c r="C213" s="150"/>
      <c r="D213" s="150"/>
    </row>
    <row r="214" spans="1:4" x14ac:dyDescent="0.2">
      <c r="A214" s="149"/>
      <c r="B214" s="150"/>
      <c r="C214" s="150"/>
      <c r="D214" s="150"/>
    </row>
    <row r="215" spans="1:4" x14ac:dyDescent="0.2">
      <c r="A215" s="149"/>
      <c r="B215" s="150"/>
      <c r="C215" s="150"/>
      <c r="D215" s="150"/>
    </row>
    <row r="216" spans="1:4" x14ac:dyDescent="0.2">
      <c r="A216" s="149"/>
      <c r="B216" s="150"/>
      <c r="C216" s="150"/>
      <c r="D216" s="150"/>
    </row>
    <row r="217" spans="1:4" x14ac:dyDescent="0.2">
      <c r="A217" s="149"/>
      <c r="B217" s="150"/>
      <c r="C217" s="150"/>
      <c r="D217" s="150"/>
    </row>
    <row r="218" spans="1:4" x14ac:dyDescent="0.2">
      <c r="A218" s="149"/>
      <c r="B218" s="150"/>
      <c r="C218" s="150"/>
      <c r="D218" s="150"/>
    </row>
    <row r="219" spans="1:4" x14ac:dyDescent="0.2">
      <c r="A219" s="149"/>
      <c r="B219" s="150"/>
      <c r="C219" s="150"/>
      <c r="D219" s="150"/>
    </row>
    <row r="220" spans="1:4" x14ac:dyDescent="0.2">
      <c r="A220" s="149"/>
      <c r="B220" s="150"/>
      <c r="C220" s="150"/>
      <c r="D220" s="150"/>
    </row>
    <row r="221" spans="1:4" x14ac:dyDescent="0.2">
      <c r="A221" s="149"/>
      <c r="B221" s="150"/>
      <c r="C221" s="150"/>
      <c r="D221" s="150"/>
    </row>
    <row r="222" spans="1:4" x14ac:dyDescent="0.2">
      <c r="A222" s="149"/>
      <c r="B222" s="150"/>
      <c r="C222" s="150"/>
      <c r="D222" s="150"/>
    </row>
    <row r="223" spans="1:4" x14ac:dyDescent="0.2">
      <c r="A223" s="149"/>
      <c r="B223" s="150"/>
      <c r="C223" s="150"/>
      <c r="D223" s="150"/>
    </row>
    <row r="224" spans="1:4" x14ac:dyDescent="0.2">
      <c r="A224" s="149"/>
      <c r="B224" s="150"/>
      <c r="C224" s="150"/>
      <c r="D224" s="150"/>
    </row>
    <row r="225" spans="1:5" x14ac:dyDescent="0.2">
      <c r="A225" s="149"/>
      <c r="B225" s="150"/>
      <c r="C225" s="150"/>
      <c r="D225" s="150"/>
    </row>
    <row r="226" spans="1:5" x14ac:dyDescent="0.2">
      <c r="A226" s="149"/>
      <c r="B226" s="150"/>
      <c r="C226" s="150"/>
      <c r="D226" s="150"/>
    </row>
    <row r="227" spans="1:5" x14ac:dyDescent="0.2">
      <c r="A227" s="149"/>
      <c r="B227" s="150"/>
      <c r="C227" s="150"/>
      <c r="D227" s="150"/>
    </row>
    <row r="228" spans="1:5" x14ac:dyDescent="0.2">
      <c r="A228" s="149"/>
      <c r="B228" s="150"/>
      <c r="C228" s="150"/>
      <c r="D228" s="150"/>
    </row>
    <row r="229" spans="1:5" x14ac:dyDescent="0.2">
      <c r="A229" s="149"/>
      <c r="B229" s="150"/>
      <c r="C229" s="150"/>
      <c r="D229" s="150"/>
    </row>
    <row r="230" spans="1:5" x14ac:dyDescent="0.2">
      <c r="A230" s="149"/>
      <c r="B230" s="150"/>
      <c r="C230" s="150"/>
      <c r="D230" s="150"/>
      <c r="E230" s="150"/>
    </row>
    <row r="231" spans="1:5" x14ac:dyDescent="0.2">
      <c r="A231" s="149"/>
      <c r="B231" s="150"/>
      <c r="C231" s="150"/>
      <c r="D231" s="150"/>
      <c r="E231" s="150"/>
    </row>
    <row r="232" spans="1:5" x14ac:dyDescent="0.2">
      <c r="A232" s="149"/>
      <c r="B232" s="150"/>
      <c r="C232" s="150"/>
      <c r="D232" s="150"/>
      <c r="E232" s="150"/>
    </row>
    <row r="233" spans="1:5" x14ac:dyDescent="0.2">
      <c r="A233" s="149"/>
      <c r="B233" s="150"/>
      <c r="C233" s="150"/>
      <c r="D233" s="150"/>
      <c r="E233" s="150"/>
    </row>
    <row r="234" spans="1:5" x14ac:dyDescent="0.2">
      <c r="A234" s="149"/>
      <c r="B234" s="150"/>
      <c r="C234" s="150"/>
      <c r="D234" s="150"/>
      <c r="E234" s="150"/>
    </row>
    <row r="235" spans="1:5" x14ac:dyDescent="0.2">
      <c r="A235" s="149"/>
      <c r="B235" s="150"/>
      <c r="C235" s="150"/>
      <c r="D235" s="150"/>
      <c r="E235" s="150"/>
    </row>
    <row r="236" spans="1:5" x14ac:dyDescent="0.2">
      <c r="A236" s="149"/>
      <c r="B236" s="150"/>
      <c r="C236" s="150"/>
      <c r="D236" s="150"/>
      <c r="E236" s="150"/>
    </row>
    <row r="237" spans="1:5" x14ac:dyDescent="0.2">
      <c r="A237" s="149"/>
      <c r="B237" s="150"/>
      <c r="C237" s="150"/>
      <c r="D237" s="150"/>
      <c r="E237" s="150"/>
    </row>
    <row r="238" spans="1:5" x14ac:dyDescent="0.2">
      <c r="A238" s="149"/>
      <c r="B238" s="150"/>
      <c r="C238" s="150"/>
      <c r="D238" s="150"/>
      <c r="E238" s="150"/>
    </row>
    <row r="239" spans="1:5" x14ac:dyDescent="0.2">
      <c r="A239" s="149"/>
      <c r="B239" s="150"/>
      <c r="C239" s="150"/>
      <c r="D239" s="150"/>
      <c r="E239" s="150"/>
    </row>
    <row r="240" spans="1:5" x14ac:dyDescent="0.2">
      <c r="A240" s="149"/>
      <c r="B240" s="150"/>
      <c r="C240" s="150"/>
      <c r="D240" s="150"/>
      <c r="E240" s="150"/>
    </row>
    <row r="241" spans="1:5" x14ac:dyDescent="0.2">
      <c r="A241" s="149"/>
      <c r="B241" s="150"/>
      <c r="C241" s="150"/>
      <c r="D241" s="150"/>
      <c r="E241" s="150"/>
    </row>
    <row r="242" spans="1:5" x14ac:dyDescent="0.2">
      <c r="A242" s="149"/>
      <c r="B242" s="150"/>
      <c r="C242" s="150"/>
      <c r="D242" s="150"/>
      <c r="E242" s="150"/>
    </row>
    <row r="243" spans="1:5" x14ac:dyDescent="0.2">
      <c r="A243" s="149"/>
      <c r="B243" s="150"/>
      <c r="C243" s="150"/>
      <c r="D243" s="150"/>
      <c r="E243" s="150"/>
    </row>
    <row r="244" spans="1:5" x14ac:dyDescent="0.2">
      <c r="A244" s="149"/>
      <c r="B244" s="150"/>
      <c r="C244" s="150"/>
      <c r="D244" s="150"/>
      <c r="E244" s="150"/>
    </row>
    <row r="245" spans="1:5" x14ac:dyDescent="0.2">
      <c r="A245" s="149"/>
      <c r="B245" s="150"/>
      <c r="C245" s="150"/>
      <c r="D245" s="150"/>
      <c r="E245" s="150"/>
    </row>
    <row r="246" spans="1:5" x14ac:dyDescent="0.2">
      <c r="A246" s="149"/>
      <c r="B246" s="150"/>
      <c r="C246" s="150"/>
      <c r="D246" s="150"/>
      <c r="E246" s="150"/>
    </row>
    <row r="247" spans="1:5" x14ac:dyDescent="0.2">
      <c r="A247" s="149"/>
      <c r="B247" s="150"/>
      <c r="C247" s="150"/>
      <c r="D247" s="150"/>
      <c r="E247" s="150"/>
    </row>
    <row r="248" spans="1:5" x14ac:dyDescent="0.2">
      <c r="A248" s="149"/>
      <c r="B248" s="150"/>
      <c r="C248" s="150"/>
      <c r="D248" s="150"/>
      <c r="E248" s="150"/>
    </row>
    <row r="249" spans="1:5" x14ac:dyDescent="0.2">
      <c r="A249" s="149"/>
      <c r="B249" s="150"/>
      <c r="C249" s="150"/>
      <c r="D249" s="150"/>
      <c r="E249" s="150"/>
    </row>
    <row r="250" spans="1:5" x14ac:dyDescent="0.2">
      <c r="A250" s="149"/>
      <c r="B250" s="150"/>
      <c r="C250" s="150"/>
      <c r="D250" s="150"/>
      <c r="E250" s="150"/>
    </row>
    <row r="251" spans="1:5" x14ac:dyDescent="0.2">
      <c r="A251" s="149"/>
      <c r="B251" s="150"/>
      <c r="C251" s="150"/>
      <c r="D251" s="150"/>
      <c r="E251" s="150"/>
    </row>
    <row r="252" spans="1:5" x14ac:dyDescent="0.2">
      <c r="A252" s="149"/>
      <c r="B252" s="150"/>
      <c r="C252" s="150"/>
      <c r="D252" s="150"/>
      <c r="E252" s="150"/>
    </row>
    <row r="253" spans="1:5" x14ac:dyDescent="0.2">
      <c r="A253" s="149"/>
      <c r="B253" s="150"/>
      <c r="C253" s="150"/>
      <c r="D253" s="150"/>
      <c r="E253" s="150"/>
    </row>
    <row r="254" spans="1:5" x14ac:dyDescent="0.2">
      <c r="A254" s="149"/>
      <c r="B254" s="150"/>
      <c r="C254" s="150"/>
      <c r="D254" s="150"/>
      <c r="E254" s="150"/>
    </row>
    <row r="255" spans="1:5" x14ac:dyDescent="0.2">
      <c r="A255" s="149"/>
      <c r="B255" s="150"/>
      <c r="C255" s="150"/>
      <c r="D255" s="150"/>
      <c r="E255" s="150"/>
    </row>
  </sheetData>
  <pageMargins left="0.7" right="0.7" top="1" bottom="6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U532"/>
  <sheetViews>
    <sheetView showGridLines="0" zoomScale="90" zoomScaleNormal="90" workbookViewId="0"/>
  </sheetViews>
  <sheetFormatPr defaultRowHeight="12.75" x14ac:dyDescent="0.2"/>
  <cols>
    <col min="1" max="1" width="21.7109375" customWidth="1"/>
    <col min="2" max="2" width="11.5703125" customWidth="1"/>
    <col min="3" max="3" width="9.5703125" customWidth="1"/>
    <col min="4" max="4" width="8.5703125" customWidth="1"/>
    <col min="5" max="5" width="9.7109375" customWidth="1"/>
    <col min="6" max="6" width="10.7109375" customWidth="1"/>
    <col min="7" max="7" width="7.7109375" customWidth="1"/>
    <col min="8" max="8" width="9.7109375" customWidth="1"/>
    <col min="9" max="9" width="1.7109375" customWidth="1"/>
    <col min="10" max="10" width="9.7109375" customWidth="1"/>
    <col min="11" max="12" width="10.7109375" customWidth="1"/>
    <col min="13" max="14" width="9.7109375" customWidth="1"/>
  </cols>
  <sheetData>
    <row r="1" spans="1:14" ht="14.25" x14ac:dyDescent="0.2">
      <c r="A1" s="41" t="s">
        <v>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4.25" x14ac:dyDescent="0.2">
      <c r="A2" s="42"/>
      <c r="B2" s="156" t="s">
        <v>27</v>
      </c>
      <c r="C2" s="156"/>
      <c r="D2" s="44" t="s">
        <v>30</v>
      </c>
      <c r="E2" s="156" t="s">
        <v>92</v>
      </c>
      <c r="F2" s="156"/>
      <c r="G2" s="156"/>
      <c r="H2" s="156"/>
      <c r="I2" s="45"/>
      <c r="J2" s="156" t="s">
        <v>70</v>
      </c>
      <c r="K2" s="156"/>
      <c r="L2" s="156"/>
      <c r="M2" s="156"/>
      <c r="N2" s="42"/>
    </row>
    <row r="3" spans="1:14" ht="14.25" x14ac:dyDescent="0.2">
      <c r="A3" s="42" t="s">
        <v>84</v>
      </c>
      <c r="B3" s="44" t="s">
        <v>28</v>
      </c>
      <c r="C3" s="42" t="s">
        <v>29</v>
      </c>
      <c r="D3" s="44"/>
      <c r="E3" s="46" t="s">
        <v>8</v>
      </c>
      <c r="F3" s="46"/>
      <c r="G3" s="46"/>
      <c r="H3" s="46"/>
      <c r="I3" s="46"/>
      <c r="J3" s="44" t="s">
        <v>72</v>
      </c>
      <c r="K3" s="46" t="s">
        <v>101</v>
      </c>
      <c r="L3" s="46"/>
      <c r="M3" s="46"/>
      <c r="N3" s="46" t="s">
        <v>6</v>
      </c>
    </row>
    <row r="4" spans="1:14" ht="14.25" x14ac:dyDescent="0.2">
      <c r="A4" s="47" t="s">
        <v>88</v>
      </c>
      <c r="B4" s="48"/>
      <c r="C4" s="48"/>
      <c r="D4" s="48"/>
      <c r="E4" s="49" t="s">
        <v>7</v>
      </c>
      <c r="F4" s="49" t="s">
        <v>1</v>
      </c>
      <c r="G4" s="50" t="s">
        <v>2</v>
      </c>
      <c r="H4" s="51" t="s">
        <v>3</v>
      </c>
      <c r="I4" s="50"/>
      <c r="J4" s="50"/>
      <c r="K4" s="50" t="s">
        <v>5</v>
      </c>
      <c r="L4" s="51" t="s">
        <v>4</v>
      </c>
      <c r="M4" s="49" t="s">
        <v>3</v>
      </c>
      <c r="N4" s="50" t="s">
        <v>7</v>
      </c>
    </row>
    <row r="5" spans="1:14" ht="14.25" x14ac:dyDescent="0.2">
      <c r="A5" s="42"/>
      <c r="B5" s="154" t="s">
        <v>93</v>
      </c>
      <c r="C5" s="155"/>
      <c r="D5" s="52" t="s">
        <v>75</v>
      </c>
      <c r="E5" s="154" t="s">
        <v>95</v>
      </c>
      <c r="F5" s="154"/>
      <c r="G5" s="154"/>
      <c r="H5" s="154"/>
      <c r="I5" s="154"/>
      <c r="J5" s="154"/>
      <c r="K5" s="154"/>
      <c r="L5" s="154"/>
      <c r="M5" s="154"/>
      <c r="N5" s="154"/>
    </row>
    <row r="6" spans="1:14" ht="16.5" x14ac:dyDescent="0.2">
      <c r="A6" s="42" t="s">
        <v>126</v>
      </c>
      <c r="B6" s="53">
        <v>83.433000000000007</v>
      </c>
      <c r="C6" s="53">
        <v>82.695999999999998</v>
      </c>
      <c r="D6" s="53">
        <f>+F6/C6</f>
        <v>51.950348263519402</v>
      </c>
      <c r="E6" s="54">
        <v>196.72900000000001</v>
      </c>
      <c r="F6" s="55">
        <v>4296.0860000000002</v>
      </c>
      <c r="G6" s="56">
        <v>22.280875923872998</v>
      </c>
      <c r="H6" s="56">
        <f>SUM(E6:G6)</f>
        <v>4515.0958759238738</v>
      </c>
      <c r="I6" s="42"/>
      <c r="J6" s="55">
        <v>1901.1980666666668</v>
      </c>
      <c r="K6" s="55">
        <f>M6-J6-L6</f>
        <v>145.88582285110306</v>
      </c>
      <c r="L6" s="56">
        <v>2166.4169864061037</v>
      </c>
      <c r="M6" s="56">
        <f>+H6-N6</f>
        <v>4213.5008759238735</v>
      </c>
      <c r="N6" s="56">
        <v>301.59500000000003</v>
      </c>
    </row>
    <row r="7" spans="1:14" ht="16.5" x14ac:dyDescent="0.2">
      <c r="A7" s="42" t="s">
        <v>127</v>
      </c>
      <c r="B7" s="53">
        <v>90.141999999999996</v>
      </c>
      <c r="C7" s="53">
        <v>89.522000000000006</v>
      </c>
      <c r="D7" s="53">
        <f>+F7/C7</f>
        <v>49.269151716896403</v>
      </c>
      <c r="E7" s="54">
        <f>N6</f>
        <v>301.59500000000003</v>
      </c>
      <c r="F7" s="55">
        <f>F15</f>
        <v>4410.6729999999998</v>
      </c>
      <c r="G7" s="56">
        <f>G28</f>
        <v>21.821877959229603</v>
      </c>
      <c r="H7" s="56">
        <f>SUM(E7:G7)</f>
        <v>4734.0898779592299</v>
      </c>
      <c r="I7" s="42"/>
      <c r="J7" s="55">
        <f>J28</f>
        <v>2054.9319999999998</v>
      </c>
      <c r="K7" s="55">
        <f>M7-J7-L7</f>
        <v>111.95233346246459</v>
      </c>
      <c r="L7" s="56">
        <f>L28</f>
        <v>2129.1005444967659</v>
      </c>
      <c r="M7" s="56">
        <f>+H7-N7</f>
        <v>4295.9848779592303</v>
      </c>
      <c r="N7" s="56">
        <f>N27</f>
        <v>438.10500000000002</v>
      </c>
    </row>
    <row r="8" spans="1:14" ht="16.5" x14ac:dyDescent="0.2">
      <c r="A8" s="42" t="s">
        <v>168</v>
      </c>
      <c r="B8" s="53">
        <v>89.144999999999996</v>
      </c>
      <c r="C8" s="53">
        <v>88.343000000000004</v>
      </c>
      <c r="D8" s="53">
        <f>+F8/C8</f>
        <v>52.064453323975862</v>
      </c>
      <c r="E8" s="54">
        <f>N7</f>
        <v>438.10500000000002</v>
      </c>
      <c r="F8" s="55">
        <v>4599.53</v>
      </c>
      <c r="G8" s="56">
        <v>25</v>
      </c>
      <c r="H8" s="56">
        <f>SUM(E8:G8)</f>
        <v>5062.6350000000002</v>
      </c>
      <c r="I8" s="42"/>
      <c r="J8" s="55">
        <v>2080</v>
      </c>
      <c r="K8" s="55">
        <f>M8-J8-L8</f>
        <v>127.63500000000022</v>
      </c>
      <c r="L8" s="56">
        <v>1900</v>
      </c>
      <c r="M8" s="56">
        <f>+H8-N8</f>
        <v>4107.6350000000002</v>
      </c>
      <c r="N8" s="56">
        <v>955</v>
      </c>
    </row>
    <row r="9" spans="1:14" ht="14.25" x14ac:dyDescent="0.2">
      <c r="A9" s="45"/>
      <c r="B9" s="45"/>
      <c r="C9" s="45"/>
      <c r="D9" s="45"/>
      <c r="E9" s="58"/>
      <c r="F9" s="58"/>
      <c r="G9" s="59"/>
      <c r="H9" s="58"/>
      <c r="I9" s="58"/>
      <c r="J9" s="59"/>
      <c r="K9" s="59"/>
      <c r="L9" s="59"/>
      <c r="M9" s="59"/>
      <c r="N9" s="60"/>
    </row>
    <row r="10" spans="1:14" ht="14.25" x14ac:dyDescent="0.2">
      <c r="A10" s="45" t="s">
        <v>74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89"/>
    </row>
    <row r="11" spans="1:14" ht="18.75" customHeight="1" x14ac:dyDescent="0.2">
      <c r="A11" s="42" t="s">
        <v>121</v>
      </c>
      <c r="B11" s="45"/>
      <c r="C11" s="45"/>
      <c r="D11" s="45"/>
      <c r="E11" s="60"/>
      <c r="F11" s="62"/>
      <c r="G11" s="63"/>
      <c r="H11" s="64"/>
      <c r="I11" s="64"/>
      <c r="J11" s="64"/>
      <c r="K11" s="65"/>
      <c r="L11" s="63"/>
      <c r="M11" s="63"/>
      <c r="N11" s="66"/>
    </row>
    <row r="12" spans="1:14" ht="18.75" customHeight="1" x14ac:dyDescent="0.2">
      <c r="A12" s="42" t="s">
        <v>104</v>
      </c>
      <c r="B12" s="45"/>
      <c r="C12" s="45"/>
      <c r="D12" s="45"/>
      <c r="E12" s="60"/>
      <c r="F12" s="67"/>
      <c r="G12" s="63">
        <f>(1.397845+28.520061+6.869446)*2.204622/60</f>
        <v>1.3517034256823999</v>
      </c>
      <c r="H12" s="64"/>
      <c r="I12" s="64"/>
      <c r="J12" s="64">
        <f>4.361207*2000/60</f>
        <v>145.37356666666668</v>
      </c>
      <c r="K12" s="68"/>
      <c r="L12" s="63">
        <f>(42.579358+4422.864)*2.204622/60</f>
        <v>164.07691111334458</v>
      </c>
      <c r="M12" s="63"/>
      <c r="N12" s="64"/>
    </row>
    <row r="13" spans="1:14" ht="18.75" customHeight="1" x14ac:dyDescent="0.2">
      <c r="A13" s="45" t="s">
        <v>110</v>
      </c>
      <c r="B13" s="45"/>
      <c r="C13" s="45"/>
      <c r="D13" s="45"/>
      <c r="E13" s="60"/>
      <c r="F13" s="62"/>
      <c r="G13" s="63">
        <f>(4.792131+65.902561+6.64419)*2.204622/60</f>
        <v>2.8417166785434</v>
      </c>
      <c r="H13" s="64"/>
      <c r="I13" s="64"/>
      <c r="J13" s="64">
        <f>5.277397*2000/60</f>
        <v>175.91323333333332</v>
      </c>
      <c r="K13" s="65"/>
      <c r="L13" s="63">
        <f>(65.402074+9580.077)*2.204622/60</f>
        <v>354.41058945133381</v>
      </c>
      <c r="M13" s="62"/>
      <c r="N13" s="66"/>
    </row>
    <row r="14" spans="1:14" ht="18.75" customHeight="1" x14ac:dyDescent="0.2">
      <c r="A14" s="45" t="s">
        <v>112</v>
      </c>
      <c r="B14" s="45"/>
      <c r="C14" s="45"/>
      <c r="D14" s="45"/>
      <c r="E14" s="60"/>
      <c r="F14" s="62"/>
      <c r="G14" s="63">
        <f>(14.834995+18.210518+5.828672)*2.204622/60</f>
        <v>1.4283813913845</v>
      </c>
      <c r="H14" s="64"/>
      <c r="I14" s="64"/>
      <c r="J14" s="64">
        <f>5.200462*2000/60</f>
        <v>173.34873333333331</v>
      </c>
      <c r="K14" s="65"/>
      <c r="L14" s="63">
        <f>(75.780013+9113.39)*2.204622/60</f>
        <v>337.64410620666808</v>
      </c>
      <c r="M14" s="62"/>
      <c r="N14" s="66"/>
    </row>
    <row r="15" spans="1:14" ht="18.75" customHeight="1" x14ac:dyDescent="0.2">
      <c r="A15" s="45" t="s">
        <v>80</v>
      </c>
      <c r="B15" s="45"/>
      <c r="C15" s="45"/>
      <c r="D15" s="45"/>
      <c r="E15" s="60">
        <v>301.59500000000003</v>
      </c>
      <c r="F15" s="62">
        <f>4410.673</f>
        <v>4410.6729999999998</v>
      </c>
      <c r="G15" s="63">
        <f>G12+G13+G14</f>
        <v>5.6218014956103</v>
      </c>
      <c r="H15" s="64">
        <f>SUM(E15:G15)</f>
        <v>4717.8898014956103</v>
      </c>
      <c r="I15" s="64"/>
      <c r="J15" s="64">
        <f>J12+J13+J14</f>
        <v>494.63553333333329</v>
      </c>
      <c r="K15" s="65">
        <f>M15-L15-J15</f>
        <v>206.44366139093046</v>
      </c>
      <c r="L15" s="63">
        <f>L12+L13+L14</f>
        <v>856.13160677134647</v>
      </c>
      <c r="M15" s="63">
        <f>H15-N15</f>
        <v>1557.2108014956102</v>
      </c>
      <c r="N15" s="64">
        <v>3160.6790000000001</v>
      </c>
    </row>
    <row r="16" spans="1:14" ht="18.75" customHeight="1" x14ac:dyDescent="0.2">
      <c r="A16" s="42" t="s">
        <v>113</v>
      </c>
      <c r="B16" s="45"/>
      <c r="C16" s="45"/>
      <c r="D16" s="45"/>
      <c r="E16" s="60"/>
      <c r="F16" s="62"/>
      <c r="G16" s="63">
        <f>(2.700212+43.931585+16.786283)*2.204622/60</f>
        <v>2.3302149060960002</v>
      </c>
      <c r="H16" s="64"/>
      <c r="I16" s="64"/>
      <c r="J16" s="64">
        <f>5.290215*2000/60</f>
        <v>176.34049999999999</v>
      </c>
      <c r="K16" s="65"/>
      <c r="L16" s="63">
        <f>(67.748059+6154.493)*2.204622/60</f>
        <v>228.6281587995783</v>
      </c>
      <c r="M16" s="63"/>
      <c r="N16" s="66"/>
    </row>
    <row r="17" spans="1:15" ht="18.75" customHeight="1" x14ac:dyDescent="0.2">
      <c r="A17" s="42" t="s">
        <v>114</v>
      </c>
      <c r="B17" s="45"/>
      <c r="C17" s="45"/>
      <c r="D17" s="45"/>
      <c r="E17" s="60"/>
      <c r="F17" s="62"/>
      <c r="G17" s="63">
        <f>(1.972522+31.466905+6.367872)*2.204622/60</f>
        <v>1.4626674522662999</v>
      </c>
      <c r="H17" s="64"/>
      <c r="I17" s="64"/>
      <c r="J17" s="64">
        <f>5.239827*2000/60</f>
        <v>174.6609</v>
      </c>
      <c r="K17" s="63"/>
      <c r="L17" s="63">
        <f>(51.851798+5711.005)*2.204622/60</f>
        <v>211.7486813286726</v>
      </c>
      <c r="M17" s="62"/>
      <c r="N17" s="66"/>
    </row>
    <row r="18" spans="1:15" ht="18.75" customHeight="1" x14ac:dyDescent="0.2">
      <c r="A18" s="42" t="s">
        <v>115</v>
      </c>
      <c r="B18" s="45"/>
      <c r="C18" s="45"/>
      <c r="D18" s="45"/>
      <c r="E18" s="60"/>
      <c r="F18" s="62"/>
      <c r="G18" s="63">
        <f>(2.319904+15.767762+14.02578)*2.204622/60</f>
        <v>1.1799668257901998</v>
      </c>
      <c r="H18" s="64"/>
      <c r="I18" s="64"/>
      <c r="J18" s="64">
        <f>4.948772*2000/60</f>
        <v>164.95906666666667</v>
      </c>
      <c r="K18" s="63"/>
      <c r="L18" s="63">
        <f>(68.682966+4144.142)*2.204622/60</f>
        <v>154.79477670321421</v>
      </c>
      <c r="M18" s="62"/>
      <c r="N18" s="66"/>
    </row>
    <row r="19" spans="1:15" ht="18.75" customHeight="1" x14ac:dyDescent="0.2">
      <c r="A19" s="42" t="s">
        <v>81</v>
      </c>
      <c r="B19" s="45"/>
      <c r="C19" s="45"/>
      <c r="D19" s="45"/>
      <c r="E19" s="60">
        <f>N15</f>
        <v>3160.6790000000001</v>
      </c>
      <c r="F19" s="67"/>
      <c r="G19" s="63">
        <f>SUM(G16:G18)</f>
        <v>4.9728491841525004</v>
      </c>
      <c r="H19" s="64">
        <f>E19+F19+G19</f>
        <v>3165.6518491841525</v>
      </c>
      <c r="I19" s="64"/>
      <c r="J19" s="64">
        <f>SUM(J16:J18)</f>
        <v>515.96046666666666</v>
      </c>
      <c r="K19" s="68">
        <f>M19-L19-J19</f>
        <v>-54.783234313979165</v>
      </c>
      <c r="L19" s="63">
        <f>SUM(L16:L18)</f>
        <v>595.17161683146514</v>
      </c>
      <c r="M19" s="63">
        <f>H19-N19</f>
        <v>1056.3488491841526</v>
      </c>
      <c r="N19" s="64">
        <v>2109.3029999999999</v>
      </c>
    </row>
    <row r="20" spans="1:15" ht="18.75" customHeight="1" x14ac:dyDescent="0.2">
      <c r="A20" s="42" t="s">
        <v>116</v>
      </c>
      <c r="B20" s="45"/>
      <c r="C20" s="45"/>
      <c r="D20" s="45"/>
      <c r="E20" s="60"/>
      <c r="F20" s="67"/>
      <c r="G20" s="63">
        <f>(15.718589+36.223498+6.168282)*2.204622/60</f>
        <v>2.1351899654252997</v>
      </c>
      <c r="H20" s="64"/>
      <c r="I20" s="64"/>
      <c r="J20" s="64">
        <f>5.46524*2000/60</f>
        <v>182.17466666666667</v>
      </c>
      <c r="K20" s="68"/>
      <c r="L20" s="63">
        <f>(72.280867+3166.287)*2.204622/60</f>
        <v>118.9969661346879</v>
      </c>
      <c r="M20" s="63"/>
      <c r="N20" s="64"/>
    </row>
    <row r="21" spans="1:15" ht="18.75" customHeight="1" x14ac:dyDescent="0.2">
      <c r="A21" s="42" t="s">
        <v>117</v>
      </c>
      <c r="B21" s="45"/>
      <c r="C21" s="45"/>
      <c r="D21" s="45"/>
      <c r="E21" s="60"/>
      <c r="F21" s="67"/>
      <c r="G21" s="63">
        <f>(9.603402+38.602173+17.683985)*2.204622/60</f>
        <v>2.4210262257720006</v>
      </c>
      <c r="H21" s="64"/>
      <c r="I21" s="64"/>
      <c r="J21" s="64">
        <f>5.149147*2000/60</f>
        <v>171.63823333333332</v>
      </c>
      <c r="K21" s="68"/>
      <c r="L21" s="63">
        <f>(56.404038+2110.962)*2.204622/60</f>
        <v>79.637047490460603</v>
      </c>
      <c r="M21" s="63"/>
      <c r="N21" s="64"/>
    </row>
    <row r="22" spans="1:15" ht="18.75" customHeight="1" x14ac:dyDescent="0.2">
      <c r="A22" s="42" t="s">
        <v>118</v>
      </c>
      <c r="B22" s="45"/>
      <c r="C22" s="45"/>
      <c r="D22" s="45"/>
      <c r="E22" s="60"/>
      <c r="F22" s="67"/>
      <c r="G22" s="63">
        <f>(14.93331+18.49162+17.072273)*2.204622/60</f>
        <v>1.8554540778711002</v>
      </c>
      <c r="H22" s="64"/>
      <c r="I22" s="64"/>
      <c r="J22" s="64">
        <f>5.17404*2000/60</f>
        <v>172.46799999999999</v>
      </c>
      <c r="K22" s="68"/>
      <c r="L22" s="63">
        <f>(50.72778+2940.067)*2.204622/60</f>
        <v>109.892866157886</v>
      </c>
      <c r="M22" s="63"/>
      <c r="N22" s="64"/>
    </row>
    <row r="23" spans="1:15" ht="18.75" customHeight="1" x14ac:dyDescent="0.2">
      <c r="A23" s="42" t="s">
        <v>82</v>
      </c>
      <c r="B23" s="45"/>
      <c r="C23" s="45"/>
      <c r="D23" s="45"/>
      <c r="E23" s="60">
        <f>N19</f>
        <v>2109.3029999999999</v>
      </c>
      <c r="F23" s="67"/>
      <c r="G23" s="63">
        <f>SUM(G20:G22)</f>
        <v>6.4116702690684004</v>
      </c>
      <c r="H23" s="64">
        <f>E23+F23+G23</f>
        <v>2115.7146702690684</v>
      </c>
      <c r="I23" s="64"/>
      <c r="J23" s="64">
        <f>SUM(J20:J22)</f>
        <v>526.28089999999997</v>
      </c>
      <c r="K23" s="68">
        <f>M23-L23-J23</f>
        <v>61.577890486033994</v>
      </c>
      <c r="L23" s="63">
        <f>SUM(L20:L22)</f>
        <v>308.52687978303447</v>
      </c>
      <c r="M23" s="63">
        <f>H23-N23</f>
        <v>896.38567026906844</v>
      </c>
      <c r="N23" s="64">
        <v>1219.329</v>
      </c>
      <c r="O23" s="40"/>
    </row>
    <row r="24" spans="1:15" ht="18.75" customHeight="1" x14ac:dyDescent="0.2">
      <c r="A24" s="42" t="s">
        <v>66</v>
      </c>
      <c r="B24" s="45"/>
      <c r="C24" s="45"/>
      <c r="D24" s="45"/>
      <c r="E24" s="60"/>
      <c r="F24" s="67"/>
      <c r="G24" s="63">
        <f>(15.628801+28.563775+7.569622)*2.204622/60</f>
        <v>1.9019346746526002</v>
      </c>
      <c r="H24" s="64"/>
      <c r="I24" s="64"/>
      <c r="J24" s="64">
        <f>5.086941*2000/60</f>
        <v>169.56470000000002</v>
      </c>
      <c r="K24" s="68"/>
      <c r="L24" s="63">
        <f>(51.253059+3204.53)*2.204622/60</f>
        <v>119.62951598497831</v>
      </c>
      <c r="M24" s="63"/>
      <c r="N24" s="64"/>
    </row>
    <row r="25" spans="1:15" ht="18.75" customHeight="1" x14ac:dyDescent="0.2">
      <c r="A25" s="42" t="s">
        <v>68</v>
      </c>
      <c r="B25" s="45"/>
      <c r="C25" s="45"/>
      <c r="D25" s="45"/>
      <c r="E25" s="60"/>
      <c r="F25" s="67"/>
      <c r="G25" s="63">
        <f>(6.402652+44.065496+8.381982)*2.204622/60</f>
        <v>2.1623715216810004</v>
      </c>
      <c r="H25" s="64"/>
      <c r="I25" s="64"/>
      <c r="J25" s="64">
        <f>5.365828*2000/60</f>
        <v>178.86093333333332</v>
      </c>
      <c r="K25" s="68"/>
      <c r="L25" s="63">
        <f>(68.729166+3357.876)*2.204622/60</f>
        <v>125.90615223795422</v>
      </c>
      <c r="M25" s="63"/>
      <c r="N25" s="64"/>
    </row>
    <row r="26" spans="1:15" ht="18.75" customHeight="1" x14ac:dyDescent="0.2">
      <c r="A26" s="42" t="s">
        <v>69</v>
      </c>
      <c r="B26" s="45"/>
      <c r="C26" s="45"/>
      <c r="D26" s="45"/>
      <c r="E26" s="60"/>
      <c r="F26" s="67"/>
      <c r="G26" s="63">
        <f>(2.00037+12.691678+5.753656)*2.204622/60</f>
        <v>0.75125081406479999</v>
      </c>
      <c r="H26" s="64"/>
      <c r="I26" s="64"/>
      <c r="J26" s="64">
        <f>5.088884*2000/60</f>
        <v>169.62946666666667</v>
      </c>
      <c r="K26" s="68"/>
      <c r="L26" s="63">
        <f>(72.994883+3294.515)*2.204622/60</f>
        <v>123.73477288798709</v>
      </c>
      <c r="M26" s="63"/>
      <c r="N26" s="64"/>
    </row>
    <row r="27" spans="1:15" ht="18.75" customHeight="1" x14ac:dyDescent="0.2">
      <c r="A27" s="69" t="s">
        <v>83</v>
      </c>
      <c r="B27" s="45"/>
      <c r="C27" s="45"/>
      <c r="D27" s="45"/>
      <c r="E27" s="60">
        <f>N23</f>
        <v>1219.329</v>
      </c>
      <c r="F27" s="67"/>
      <c r="G27" s="63">
        <f>SUM(G24:G26)</f>
        <v>4.8155570103984005</v>
      </c>
      <c r="H27" s="64">
        <f>SUM(E27:G27)</f>
        <v>1224.1445570103983</v>
      </c>
      <c r="I27" s="64"/>
      <c r="J27" s="64">
        <f>SUM(J24:J26)</f>
        <v>518.05510000000004</v>
      </c>
      <c r="K27" s="68">
        <f>M27-L27-J27</f>
        <v>-101.28598410052138</v>
      </c>
      <c r="L27" s="63">
        <f>SUM(L24:L26)</f>
        <v>369.27044111091965</v>
      </c>
      <c r="M27" s="63">
        <f>+H27-N27</f>
        <v>786.03955701039831</v>
      </c>
      <c r="N27" s="64">
        <v>438.10500000000002</v>
      </c>
    </row>
    <row r="28" spans="1:15" ht="18.75" customHeight="1" x14ac:dyDescent="0.2">
      <c r="A28" s="42" t="s">
        <v>38</v>
      </c>
      <c r="B28" s="45"/>
      <c r="C28" s="45"/>
      <c r="D28" s="45"/>
      <c r="E28" s="60"/>
      <c r="F28" s="67">
        <f>F15+F19+F23+F27</f>
        <v>4410.6729999999998</v>
      </c>
      <c r="G28" s="63">
        <f>G15+G19+G23+G27</f>
        <v>21.821877959229603</v>
      </c>
      <c r="H28" s="64">
        <f>E15+F28+G28</f>
        <v>4734.0898779592299</v>
      </c>
      <c r="I28" s="64"/>
      <c r="J28" s="64">
        <f>J15+J19+J23+J27</f>
        <v>2054.9319999999998</v>
      </c>
      <c r="K28" s="68">
        <f>K15+K19+K23+K27</f>
        <v>111.95233346246391</v>
      </c>
      <c r="L28" s="63">
        <f>L15+L19+L23+L27</f>
        <v>2129.1005444967659</v>
      </c>
      <c r="M28" s="63">
        <f>M15+M19+M23+M27</f>
        <v>4295.9848779592294</v>
      </c>
      <c r="N28" s="64"/>
    </row>
    <row r="29" spans="1:15" ht="14.25" x14ac:dyDescent="0.2">
      <c r="A29" s="45"/>
      <c r="B29" s="45"/>
      <c r="C29" s="45"/>
      <c r="D29" s="45"/>
      <c r="E29" s="60"/>
      <c r="F29" s="62"/>
      <c r="G29" s="63"/>
      <c r="H29" s="64"/>
      <c r="I29" s="64"/>
      <c r="J29" s="64"/>
      <c r="K29" s="65"/>
      <c r="L29" s="63"/>
      <c r="M29" s="63"/>
      <c r="N29" s="66"/>
    </row>
    <row r="30" spans="1:15" ht="14.25" x14ac:dyDescent="0.2">
      <c r="A30" s="42" t="s">
        <v>182</v>
      </c>
      <c r="B30" s="45"/>
      <c r="C30" s="45"/>
      <c r="D30" s="45"/>
      <c r="E30" s="60"/>
      <c r="F30" s="62"/>
      <c r="G30" s="63"/>
      <c r="H30" s="64"/>
      <c r="I30" s="64"/>
      <c r="J30" s="64"/>
      <c r="K30" s="65"/>
      <c r="L30" s="63"/>
      <c r="M30" s="63"/>
      <c r="N30" s="66"/>
    </row>
    <row r="31" spans="1:15" ht="14.25" x14ac:dyDescent="0.2">
      <c r="A31" s="41" t="s">
        <v>104</v>
      </c>
      <c r="B31" s="41"/>
      <c r="C31" s="41"/>
      <c r="D31" s="41"/>
      <c r="E31" s="70">
        <f>N27</f>
        <v>438.10500000000002</v>
      </c>
      <c r="F31" s="71">
        <v>4689.6279999999997</v>
      </c>
      <c r="G31" s="72">
        <f>(2.812927+19.605446+5.607091)*2.204622/60</f>
        <v>1.0297592415768002</v>
      </c>
      <c r="H31" s="73">
        <f>SUM(E31:G31)</f>
        <v>5128.7627592415765</v>
      </c>
      <c r="I31" s="73"/>
      <c r="J31" s="73">
        <f>5.077532*2000/60</f>
        <v>169.25106666666667</v>
      </c>
      <c r="K31" s="74"/>
      <c r="L31" s="72">
        <f>(121.841427+3115.468)*2.204622/60</f>
        <v>118.95072639285989</v>
      </c>
      <c r="M31" s="72"/>
      <c r="N31" s="75"/>
    </row>
    <row r="32" spans="1:15" ht="16.5" x14ac:dyDescent="0.2">
      <c r="A32" s="76" t="s">
        <v>128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77"/>
      <c r="M32" s="45"/>
      <c r="N32" s="45"/>
    </row>
    <row r="33" spans="1:73" ht="14.25" x14ac:dyDescent="0.2">
      <c r="A33" s="42" t="s">
        <v>129</v>
      </c>
      <c r="B33" s="42"/>
      <c r="C33" s="42"/>
      <c r="D33" s="42"/>
      <c r="E33" s="78"/>
      <c r="F33" s="78"/>
      <c r="G33" s="78"/>
      <c r="H33" s="78"/>
      <c r="I33" s="78"/>
      <c r="J33" s="78"/>
      <c r="K33" s="78"/>
      <c r="L33" s="78"/>
      <c r="M33" s="78"/>
      <c r="N33" s="78"/>
    </row>
    <row r="34" spans="1:73" ht="14.25" x14ac:dyDescent="0.2">
      <c r="A34" s="79" t="s">
        <v>78</v>
      </c>
      <c r="B34" s="42"/>
      <c r="C34" s="42"/>
      <c r="D34" s="42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</row>
    <row r="35" spans="1:73" ht="14.25" x14ac:dyDescent="0.2">
      <c r="A35" s="42" t="s">
        <v>26</v>
      </c>
      <c r="B35" s="80">
        <f ca="1">NOW()</f>
        <v>43417.408640856484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</row>
    <row r="36" spans="1:73" x14ac:dyDescent="0.2"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</row>
    <row r="37" spans="1:73" x14ac:dyDescent="0.2"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</row>
    <row r="38" spans="1:73" x14ac:dyDescent="0.2"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</row>
    <row r="39" spans="1:73" x14ac:dyDescent="0.2">
      <c r="F39" s="15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</row>
    <row r="40" spans="1:73" x14ac:dyDescent="0.2"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</row>
    <row r="41" spans="1:73" x14ac:dyDescent="0.2"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</row>
    <row r="42" spans="1:73" x14ac:dyDescent="0.2"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</row>
    <row r="43" spans="1:73" x14ac:dyDescent="0.2"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</row>
    <row r="44" spans="1:73" x14ac:dyDescent="0.2"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</row>
    <row r="45" spans="1:73" x14ac:dyDescent="0.2"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</row>
    <row r="46" spans="1:73" x14ac:dyDescent="0.2"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</row>
    <row r="47" spans="1:73" x14ac:dyDescent="0.2"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</row>
    <row r="48" spans="1:73" x14ac:dyDescent="0.2"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</row>
    <row r="49" spans="15:73" x14ac:dyDescent="0.2"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</row>
    <row r="50" spans="15:73" x14ac:dyDescent="0.2"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</row>
    <row r="51" spans="15:73" x14ac:dyDescent="0.2"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</row>
    <row r="52" spans="15:73" x14ac:dyDescent="0.2"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</row>
    <row r="53" spans="15:73" x14ac:dyDescent="0.2"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</row>
    <row r="54" spans="15:73" x14ac:dyDescent="0.2"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</row>
    <row r="55" spans="15:73" x14ac:dyDescent="0.2"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</row>
    <row r="56" spans="15:73" x14ac:dyDescent="0.2"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</row>
    <row r="57" spans="15:73" x14ac:dyDescent="0.2"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</row>
    <row r="58" spans="15:73" x14ac:dyDescent="0.2"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</row>
    <row r="59" spans="15:73" x14ac:dyDescent="0.2"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</row>
    <row r="60" spans="15:73" x14ac:dyDescent="0.2"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</row>
    <row r="61" spans="15:73" x14ac:dyDescent="0.2"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</row>
    <row r="62" spans="15:73" x14ac:dyDescent="0.2"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</row>
    <row r="63" spans="15:73" x14ac:dyDescent="0.2"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</row>
    <row r="64" spans="15:73" x14ac:dyDescent="0.2"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</row>
    <row r="65" spans="15:73" x14ac:dyDescent="0.2"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</row>
    <row r="66" spans="15:73" x14ac:dyDescent="0.2"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</row>
    <row r="67" spans="15:73" x14ac:dyDescent="0.2"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</row>
    <row r="68" spans="15:73" x14ac:dyDescent="0.2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</row>
    <row r="69" spans="15:73" x14ac:dyDescent="0.2"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</row>
    <row r="70" spans="15:73" x14ac:dyDescent="0.2"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</row>
    <row r="71" spans="15:73" x14ac:dyDescent="0.2"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</row>
    <row r="72" spans="15:73" x14ac:dyDescent="0.2"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</row>
    <row r="73" spans="15:73" x14ac:dyDescent="0.2"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</row>
    <row r="74" spans="15:73" x14ac:dyDescent="0.2"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</row>
    <row r="75" spans="15:73" x14ac:dyDescent="0.2"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</row>
    <row r="76" spans="15:73" x14ac:dyDescent="0.2"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</row>
    <row r="77" spans="15:73" x14ac:dyDescent="0.2"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</row>
    <row r="78" spans="15:73" x14ac:dyDescent="0.2"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</row>
    <row r="79" spans="15:73" x14ac:dyDescent="0.2"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</row>
    <row r="80" spans="15:73" x14ac:dyDescent="0.2"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</row>
    <row r="81" spans="15:73" x14ac:dyDescent="0.2"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</row>
    <row r="82" spans="15:73" x14ac:dyDescent="0.2"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</row>
    <row r="83" spans="15:73" x14ac:dyDescent="0.2"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</row>
    <row r="84" spans="15:73" x14ac:dyDescent="0.2"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</row>
    <row r="85" spans="15:73" x14ac:dyDescent="0.2"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</row>
    <row r="86" spans="15:73" x14ac:dyDescent="0.2"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</row>
    <row r="87" spans="15:73" x14ac:dyDescent="0.2"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</row>
    <row r="88" spans="15:73" x14ac:dyDescent="0.2"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</row>
    <row r="89" spans="15:73" x14ac:dyDescent="0.2"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</row>
    <row r="90" spans="15:73" x14ac:dyDescent="0.2"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</row>
    <row r="91" spans="15:73" x14ac:dyDescent="0.2"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</row>
    <row r="92" spans="15:73" x14ac:dyDescent="0.2"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</row>
    <row r="93" spans="15:73" x14ac:dyDescent="0.2"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</row>
    <row r="94" spans="15:73" x14ac:dyDescent="0.2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</row>
    <row r="95" spans="15:73" x14ac:dyDescent="0.2"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</row>
    <row r="96" spans="15:73" x14ac:dyDescent="0.2"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</row>
    <row r="97" spans="15:73" x14ac:dyDescent="0.2"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</row>
    <row r="98" spans="15:73" x14ac:dyDescent="0.2"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</row>
    <row r="99" spans="15:73" x14ac:dyDescent="0.2"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</row>
    <row r="100" spans="15:73" x14ac:dyDescent="0.2"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</row>
    <row r="101" spans="15:73" x14ac:dyDescent="0.2"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</row>
    <row r="102" spans="15:73" x14ac:dyDescent="0.2"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</row>
    <row r="103" spans="15:73" x14ac:dyDescent="0.2"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</row>
    <row r="104" spans="15:73" x14ac:dyDescent="0.2"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</row>
    <row r="105" spans="15:73" x14ac:dyDescent="0.2"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</row>
    <row r="106" spans="15:73" x14ac:dyDescent="0.2"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</row>
    <row r="107" spans="15:73" x14ac:dyDescent="0.2"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</row>
    <row r="108" spans="15:73" x14ac:dyDescent="0.2"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</row>
    <row r="109" spans="15:73" x14ac:dyDescent="0.2"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</row>
    <row r="110" spans="15:73" x14ac:dyDescent="0.2"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</row>
    <row r="111" spans="15:73" x14ac:dyDescent="0.2"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</row>
    <row r="112" spans="15:73" x14ac:dyDescent="0.2"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</row>
    <row r="113" spans="15:73" x14ac:dyDescent="0.2"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</row>
    <row r="114" spans="15:73" x14ac:dyDescent="0.2"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</row>
    <row r="115" spans="15:73" x14ac:dyDescent="0.2"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</row>
    <row r="116" spans="15:73" x14ac:dyDescent="0.2"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</row>
    <row r="117" spans="15:73" x14ac:dyDescent="0.2"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</row>
    <row r="118" spans="15:73" x14ac:dyDescent="0.2"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</row>
    <row r="119" spans="15:73" x14ac:dyDescent="0.2"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</row>
    <row r="120" spans="15:73" x14ac:dyDescent="0.2"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</row>
    <row r="121" spans="15:73" x14ac:dyDescent="0.2"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</row>
    <row r="122" spans="15:73" x14ac:dyDescent="0.2"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</row>
    <row r="123" spans="15:73" x14ac:dyDescent="0.2"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</row>
    <row r="124" spans="15:73" x14ac:dyDescent="0.2"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</row>
    <row r="125" spans="15:73" x14ac:dyDescent="0.2"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</row>
    <row r="126" spans="15:73" x14ac:dyDescent="0.2"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</row>
    <row r="127" spans="15:73" x14ac:dyDescent="0.2"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</row>
    <row r="128" spans="15:73" x14ac:dyDescent="0.2"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</row>
    <row r="129" spans="15:73" x14ac:dyDescent="0.2"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</row>
    <row r="130" spans="15:73" x14ac:dyDescent="0.2"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</row>
    <row r="131" spans="15:73" x14ac:dyDescent="0.2"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</row>
    <row r="132" spans="15:73" x14ac:dyDescent="0.2"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</row>
    <row r="133" spans="15:73" x14ac:dyDescent="0.2"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</row>
    <row r="134" spans="15:73" x14ac:dyDescent="0.2"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</row>
    <row r="135" spans="15:73" x14ac:dyDescent="0.2"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</row>
    <row r="136" spans="15:73" x14ac:dyDescent="0.2"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</row>
    <row r="137" spans="15:73" x14ac:dyDescent="0.2"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</row>
    <row r="138" spans="15:73" x14ac:dyDescent="0.2"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</row>
    <row r="139" spans="15:73" x14ac:dyDescent="0.2"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</row>
    <row r="140" spans="15:73" x14ac:dyDescent="0.2"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</row>
    <row r="141" spans="15:73" x14ac:dyDescent="0.2"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</row>
    <row r="142" spans="15:73" x14ac:dyDescent="0.2"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</row>
    <row r="143" spans="15:73" x14ac:dyDescent="0.2"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</row>
    <row r="144" spans="15:73" x14ac:dyDescent="0.2"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</row>
    <row r="145" spans="15:73" x14ac:dyDescent="0.2"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</row>
    <row r="146" spans="15:73" x14ac:dyDescent="0.2"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</row>
    <row r="147" spans="15:73" x14ac:dyDescent="0.2"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</row>
    <row r="148" spans="15:73" x14ac:dyDescent="0.2"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</row>
    <row r="149" spans="15:73" x14ac:dyDescent="0.2"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</row>
    <row r="150" spans="15:73" x14ac:dyDescent="0.2"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</row>
    <row r="151" spans="15:73" x14ac:dyDescent="0.2"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</row>
    <row r="152" spans="15:73" x14ac:dyDescent="0.2"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</row>
    <row r="153" spans="15:73" x14ac:dyDescent="0.2"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</row>
    <row r="154" spans="15:73" x14ac:dyDescent="0.2"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</row>
    <row r="155" spans="15:73" x14ac:dyDescent="0.2"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</row>
    <row r="156" spans="15:73" x14ac:dyDescent="0.2"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</row>
    <row r="157" spans="15:73" x14ac:dyDescent="0.2"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</row>
    <row r="158" spans="15:73" x14ac:dyDescent="0.2"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</row>
    <row r="159" spans="15:73" x14ac:dyDescent="0.2"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</row>
    <row r="160" spans="15:73" x14ac:dyDescent="0.2"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</row>
    <row r="161" spans="15:73" x14ac:dyDescent="0.2"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</row>
    <row r="162" spans="15:73" x14ac:dyDescent="0.2"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</row>
    <row r="163" spans="15:73" x14ac:dyDescent="0.2"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</row>
    <row r="164" spans="15:73" x14ac:dyDescent="0.2"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</row>
    <row r="165" spans="15:73" x14ac:dyDescent="0.2"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</row>
    <row r="166" spans="15:73" x14ac:dyDescent="0.2"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</row>
    <row r="167" spans="15:73" x14ac:dyDescent="0.2"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</row>
    <row r="168" spans="15:73" x14ac:dyDescent="0.2"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</row>
    <row r="169" spans="15:73" x14ac:dyDescent="0.2"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</row>
    <row r="170" spans="15:73" x14ac:dyDescent="0.2"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</row>
    <row r="171" spans="15:73" x14ac:dyDescent="0.2"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</row>
    <row r="172" spans="15:73" x14ac:dyDescent="0.2"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</row>
    <row r="173" spans="15:73" x14ac:dyDescent="0.2"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</row>
    <row r="174" spans="15:73" x14ac:dyDescent="0.2"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</row>
    <row r="175" spans="15:73" x14ac:dyDescent="0.2"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</row>
    <row r="176" spans="15:73" x14ac:dyDescent="0.2"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</row>
    <row r="177" spans="15:73" x14ac:dyDescent="0.2"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</row>
    <row r="178" spans="15:73" x14ac:dyDescent="0.2"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</row>
    <row r="179" spans="15:73" x14ac:dyDescent="0.2"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</row>
    <row r="180" spans="15:73" x14ac:dyDescent="0.2"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</row>
    <row r="181" spans="15:73" x14ac:dyDescent="0.2"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</row>
    <row r="182" spans="15:73" x14ac:dyDescent="0.2"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</row>
    <row r="183" spans="15:73" x14ac:dyDescent="0.2"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</row>
    <row r="184" spans="15:73" x14ac:dyDescent="0.2"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</row>
    <row r="185" spans="15:73" x14ac:dyDescent="0.2"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</row>
    <row r="186" spans="15:73" x14ac:dyDescent="0.2"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</row>
    <row r="187" spans="15:73" x14ac:dyDescent="0.2"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</row>
    <row r="188" spans="15:73" x14ac:dyDescent="0.2"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</row>
    <row r="189" spans="15:73" x14ac:dyDescent="0.2"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</row>
    <row r="190" spans="15:73" x14ac:dyDescent="0.2"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</row>
    <row r="191" spans="15:73" x14ac:dyDescent="0.2"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</row>
    <row r="192" spans="15:73" x14ac:dyDescent="0.2"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</row>
    <row r="193" spans="15:73" x14ac:dyDescent="0.2"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</row>
    <row r="194" spans="15:73" x14ac:dyDescent="0.2"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</row>
    <row r="195" spans="15:73" x14ac:dyDescent="0.2"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</row>
    <row r="196" spans="15:73" x14ac:dyDescent="0.2"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</row>
    <row r="197" spans="15:73" x14ac:dyDescent="0.2"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</row>
    <row r="198" spans="15:73" x14ac:dyDescent="0.2"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</row>
    <row r="199" spans="15:73" x14ac:dyDescent="0.2"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</row>
    <row r="200" spans="15:73" x14ac:dyDescent="0.2"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</row>
    <row r="201" spans="15:73" x14ac:dyDescent="0.2"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</row>
    <row r="202" spans="15:73" x14ac:dyDescent="0.2"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</row>
    <row r="203" spans="15:73" x14ac:dyDescent="0.2"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</row>
    <row r="204" spans="15:73" x14ac:dyDescent="0.2"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</row>
    <row r="205" spans="15:73" x14ac:dyDescent="0.2"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</row>
    <row r="206" spans="15:73" x14ac:dyDescent="0.2"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</row>
    <row r="207" spans="15:73" x14ac:dyDescent="0.2"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</row>
    <row r="208" spans="15:73" x14ac:dyDescent="0.2"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</row>
    <row r="209" spans="15:73" x14ac:dyDescent="0.2"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</row>
    <row r="210" spans="15:73" x14ac:dyDescent="0.2"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</row>
    <row r="211" spans="15:73" x14ac:dyDescent="0.2"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</row>
    <row r="212" spans="15:73" x14ac:dyDescent="0.2"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</row>
    <row r="213" spans="15:73" x14ac:dyDescent="0.2"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</row>
    <row r="214" spans="15:73" x14ac:dyDescent="0.2"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</row>
    <row r="215" spans="15:73" x14ac:dyDescent="0.2"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</row>
    <row r="216" spans="15:73" x14ac:dyDescent="0.2"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</row>
    <row r="217" spans="15:73" x14ac:dyDescent="0.2"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</row>
    <row r="218" spans="15:73" x14ac:dyDescent="0.2"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</row>
    <row r="219" spans="15:73" x14ac:dyDescent="0.2"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</row>
    <row r="220" spans="15:73" x14ac:dyDescent="0.2"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</row>
    <row r="221" spans="15:73" x14ac:dyDescent="0.2"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</row>
    <row r="222" spans="15:73" x14ac:dyDescent="0.2"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</row>
    <row r="223" spans="15:73" x14ac:dyDescent="0.2"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</row>
    <row r="224" spans="15:73" x14ac:dyDescent="0.2"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</row>
    <row r="225" spans="15:73" x14ac:dyDescent="0.2"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</row>
    <row r="226" spans="15:73" x14ac:dyDescent="0.2"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</row>
    <row r="227" spans="15:73" x14ac:dyDescent="0.2"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</row>
    <row r="228" spans="15:73" x14ac:dyDescent="0.2"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</row>
    <row r="229" spans="15:73" x14ac:dyDescent="0.2"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</row>
    <row r="230" spans="15:73" x14ac:dyDescent="0.2"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</row>
    <row r="231" spans="15:73" x14ac:dyDescent="0.2"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</row>
    <row r="232" spans="15:73" x14ac:dyDescent="0.2"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</row>
    <row r="233" spans="15:73" x14ac:dyDescent="0.2"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</row>
    <row r="234" spans="15:73" x14ac:dyDescent="0.2"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</row>
    <row r="235" spans="15:73" x14ac:dyDescent="0.2"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</row>
    <row r="236" spans="15:73" x14ac:dyDescent="0.2"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</row>
    <row r="237" spans="15:73" x14ac:dyDescent="0.2"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</row>
    <row r="238" spans="15:73" x14ac:dyDescent="0.2"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</row>
    <row r="239" spans="15:73" x14ac:dyDescent="0.2"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</row>
    <row r="240" spans="15:73" x14ac:dyDescent="0.2"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</row>
    <row r="241" spans="15:73" x14ac:dyDescent="0.2"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</row>
    <row r="242" spans="15:73" x14ac:dyDescent="0.2"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</row>
    <row r="243" spans="15:73" x14ac:dyDescent="0.2"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</row>
    <row r="244" spans="15:73" x14ac:dyDescent="0.2"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</row>
    <row r="245" spans="15:73" x14ac:dyDescent="0.2"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</row>
    <row r="246" spans="15:73" x14ac:dyDescent="0.2"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</row>
    <row r="247" spans="15:73" x14ac:dyDescent="0.2"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</row>
    <row r="248" spans="15:73" x14ac:dyDescent="0.2"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</row>
    <row r="249" spans="15:73" x14ac:dyDescent="0.2"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</row>
    <row r="250" spans="15:73" x14ac:dyDescent="0.2"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</row>
    <row r="251" spans="15:73" x14ac:dyDescent="0.2"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</row>
    <row r="252" spans="15:73" x14ac:dyDescent="0.2"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</row>
    <row r="253" spans="15:73" x14ac:dyDescent="0.2"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</row>
    <row r="254" spans="15:73" x14ac:dyDescent="0.2"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</row>
    <row r="255" spans="15:73" x14ac:dyDescent="0.2"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</row>
    <row r="256" spans="15:73" x14ac:dyDescent="0.2"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</row>
    <row r="257" spans="15:73" x14ac:dyDescent="0.2"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</row>
    <row r="258" spans="15:73" x14ac:dyDescent="0.2"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</row>
    <row r="259" spans="15:73" x14ac:dyDescent="0.2"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</row>
    <row r="260" spans="15:73" x14ac:dyDescent="0.2"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</row>
    <row r="261" spans="15:73" x14ac:dyDescent="0.2"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</row>
    <row r="262" spans="15:73" x14ac:dyDescent="0.2"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</row>
    <row r="263" spans="15:73" x14ac:dyDescent="0.2"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</row>
    <row r="264" spans="15:73" x14ac:dyDescent="0.2"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</row>
    <row r="265" spans="15:73" x14ac:dyDescent="0.2"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</row>
    <row r="266" spans="15:73" x14ac:dyDescent="0.2"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</row>
    <row r="267" spans="15:73" x14ac:dyDescent="0.2"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</row>
    <row r="268" spans="15:73" x14ac:dyDescent="0.2"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</row>
    <row r="269" spans="15:73" x14ac:dyDescent="0.2"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</row>
    <row r="270" spans="15:73" x14ac:dyDescent="0.2"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</row>
    <row r="271" spans="15:73" x14ac:dyDescent="0.2"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</row>
    <row r="272" spans="15:73" x14ac:dyDescent="0.2"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</row>
    <row r="273" spans="15:73" x14ac:dyDescent="0.2"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</row>
    <row r="274" spans="15:73" x14ac:dyDescent="0.2"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</row>
    <row r="275" spans="15:73" x14ac:dyDescent="0.2"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</row>
    <row r="276" spans="15:73" x14ac:dyDescent="0.2"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</row>
    <row r="277" spans="15:73" x14ac:dyDescent="0.2"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</row>
    <row r="278" spans="15:73" x14ac:dyDescent="0.2"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</row>
    <row r="279" spans="15:73" x14ac:dyDescent="0.2"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</row>
    <row r="280" spans="15:73" x14ac:dyDescent="0.2"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</row>
    <row r="281" spans="15:73" x14ac:dyDescent="0.2"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</row>
    <row r="282" spans="15:73" x14ac:dyDescent="0.2"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</row>
    <row r="283" spans="15:73" x14ac:dyDescent="0.2"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</row>
    <row r="284" spans="15:73" x14ac:dyDescent="0.2"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</row>
    <row r="285" spans="15:73" x14ac:dyDescent="0.2"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</row>
    <row r="286" spans="15:73" x14ac:dyDescent="0.2"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</row>
    <row r="287" spans="15:73" x14ac:dyDescent="0.2"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</row>
    <row r="288" spans="15:73" x14ac:dyDescent="0.2"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</row>
    <row r="289" spans="15:73" x14ac:dyDescent="0.2"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</row>
    <row r="290" spans="15:73" x14ac:dyDescent="0.2"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</row>
    <row r="291" spans="15:73" x14ac:dyDescent="0.2"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</row>
    <row r="292" spans="15:73" x14ac:dyDescent="0.2"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</row>
    <row r="293" spans="15:73" x14ac:dyDescent="0.2"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</row>
    <row r="294" spans="15:73" x14ac:dyDescent="0.2"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</row>
    <row r="295" spans="15:73" x14ac:dyDescent="0.2"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</row>
    <row r="296" spans="15:73" x14ac:dyDescent="0.2"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</row>
    <row r="297" spans="15:73" x14ac:dyDescent="0.2"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</row>
    <row r="298" spans="15:73" x14ac:dyDescent="0.2"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</row>
    <row r="299" spans="15:73" x14ac:dyDescent="0.2"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</row>
    <row r="300" spans="15:73" x14ac:dyDescent="0.2"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</row>
    <row r="301" spans="15:73" x14ac:dyDescent="0.2"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</row>
    <row r="302" spans="15:73" x14ac:dyDescent="0.2"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</row>
    <row r="303" spans="15:73" x14ac:dyDescent="0.2"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</row>
    <row r="304" spans="15:73" x14ac:dyDescent="0.2"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</row>
    <row r="305" spans="15:73" x14ac:dyDescent="0.2"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</row>
    <row r="306" spans="15:73" x14ac:dyDescent="0.2"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</row>
    <row r="307" spans="15:73" x14ac:dyDescent="0.2"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</row>
    <row r="308" spans="15:73" x14ac:dyDescent="0.2"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</row>
    <row r="309" spans="15:73" x14ac:dyDescent="0.2"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</row>
    <row r="310" spans="15:73" x14ac:dyDescent="0.2"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</row>
    <row r="311" spans="15:73" x14ac:dyDescent="0.2"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</row>
    <row r="312" spans="15:73" x14ac:dyDescent="0.2"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</row>
    <row r="313" spans="15:73" x14ac:dyDescent="0.2"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</row>
    <row r="314" spans="15:73" x14ac:dyDescent="0.2"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</row>
    <row r="315" spans="15:73" x14ac:dyDescent="0.2"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</row>
    <row r="316" spans="15:73" x14ac:dyDescent="0.2"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</row>
    <row r="317" spans="15:73" x14ac:dyDescent="0.2"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</row>
    <row r="318" spans="15:73" x14ac:dyDescent="0.2"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</row>
    <row r="319" spans="15:73" x14ac:dyDescent="0.2"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</row>
    <row r="320" spans="15:73" x14ac:dyDescent="0.2"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</row>
    <row r="321" spans="15:73" x14ac:dyDescent="0.2"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</row>
    <row r="322" spans="15:73" x14ac:dyDescent="0.2"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</row>
    <row r="323" spans="15:73" x14ac:dyDescent="0.2"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</row>
    <row r="324" spans="15:73" x14ac:dyDescent="0.2"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</row>
    <row r="325" spans="15:73" x14ac:dyDescent="0.2"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</row>
    <row r="326" spans="15:73" x14ac:dyDescent="0.2"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</row>
    <row r="327" spans="15:73" x14ac:dyDescent="0.2"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</row>
    <row r="328" spans="15:73" x14ac:dyDescent="0.2"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</row>
    <row r="329" spans="15:73" x14ac:dyDescent="0.2"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</row>
    <row r="330" spans="15:73" x14ac:dyDescent="0.2"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</row>
    <row r="331" spans="15:73" x14ac:dyDescent="0.2"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</row>
    <row r="332" spans="15:73" x14ac:dyDescent="0.2"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</row>
    <row r="333" spans="15:73" x14ac:dyDescent="0.2"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</row>
    <row r="334" spans="15:73" x14ac:dyDescent="0.2"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</row>
    <row r="335" spans="15:73" x14ac:dyDescent="0.2"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</row>
    <row r="336" spans="15:73" x14ac:dyDescent="0.2"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</row>
    <row r="337" spans="15:73" x14ac:dyDescent="0.2"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</row>
    <row r="338" spans="15:73" x14ac:dyDescent="0.2"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</row>
    <row r="339" spans="15:73" x14ac:dyDescent="0.2"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</row>
    <row r="340" spans="15:73" x14ac:dyDescent="0.2"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</row>
    <row r="341" spans="15:73" x14ac:dyDescent="0.2"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</row>
    <row r="342" spans="15:73" x14ac:dyDescent="0.2"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</row>
    <row r="343" spans="15:73" x14ac:dyDescent="0.2"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</row>
    <row r="344" spans="15:73" x14ac:dyDescent="0.2"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</row>
    <row r="345" spans="15:73" x14ac:dyDescent="0.2"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</row>
    <row r="346" spans="15:73" x14ac:dyDescent="0.2"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</row>
    <row r="347" spans="15:73" x14ac:dyDescent="0.2"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</row>
    <row r="348" spans="15:73" x14ac:dyDescent="0.2"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</row>
    <row r="349" spans="15:73" x14ac:dyDescent="0.2"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</row>
    <row r="350" spans="15:73" x14ac:dyDescent="0.2"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</row>
    <row r="351" spans="15:73" x14ac:dyDescent="0.2"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</row>
    <row r="352" spans="15:73" x14ac:dyDescent="0.2"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</row>
    <row r="353" spans="15:73" x14ac:dyDescent="0.2"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</row>
    <row r="354" spans="15:73" x14ac:dyDescent="0.2"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</row>
    <row r="355" spans="15:73" x14ac:dyDescent="0.2"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</row>
    <row r="356" spans="15:73" x14ac:dyDescent="0.2"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</row>
    <row r="357" spans="15:73" x14ac:dyDescent="0.2"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</row>
    <row r="358" spans="15:73" x14ac:dyDescent="0.2"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</row>
    <row r="359" spans="15:73" x14ac:dyDescent="0.2"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</row>
    <row r="360" spans="15:73" x14ac:dyDescent="0.2"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</row>
    <row r="361" spans="15:73" x14ac:dyDescent="0.2"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</row>
    <row r="362" spans="15:73" x14ac:dyDescent="0.2"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</row>
    <row r="363" spans="15:73" x14ac:dyDescent="0.2"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</row>
    <row r="364" spans="15:73" x14ac:dyDescent="0.2"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</row>
    <row r="365" spans="15:73" x14ac:dyDescent="0.2"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</row>
    <row r="366" spans="15:73" x14ac:dyDescent="0.2"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</row>
    <row r="367" spans="15:73" x14ac:dyDescent="0.2"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</row>
    <row r="368" spans="15:73" x14ac:dyDescent="0.2"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</row>
    <row r="369" spans="15:73" x14ac:dyDescent="0.2"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</row>
    <row r="370" spans="15:73" x14ac:dyDescent="0.2"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</row>
    <row r="371" spans="15:73" x14ac:dyDescent="0.2"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</row>
    <row r="372" spans="15:73" x14ac:dyDescent="0.2"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</row>
    <row r="373" spans="15:73" x14ac:dyDescent="0.2"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</row>
    <row r="374" spans="15:73" x14ac:dyDescent="0.2"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</row>
    <row r="375" spans="15:73" x14ac:dyDescent="0.2"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</row>
    <row r="376" spans="15:73" x14ac:dyDescent="0.2"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</row>
    <row r="377" spans="15:73" x14ac:dyDescent="0.2"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</row>
    <row r="378" spans="15:73" x14ac:dyDescent="0.2"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</row>
    <row r="379" spans="15:73" x14ac:dyDescent="0.2"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</row>
    <row r="380" spans="15:73" x14ac:dyDescent="0.2"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</row>
    <row r="381" spans="15:73" x14ac:dyDescent="0.2"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</row>
    <row r="382" spans="15:73" x14ac:dyDescent="0.2"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</row>
    <row r="383" spans="15:73" x14ac:dyDescent="0.2"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</row>
    <row r="384" spans="15:73" x14ac:dyDescent="0.2"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</row>
    <row r="385" spans="15:73" x14ac:dyDescent="0.2"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</row>
    <row r="386" spans="15:73" x14ac:dyDescent="0.2"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</row>
    <row r="387" spans="15:73" x14ac:dyDescent="0.2"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</row>
    <row r="388" spans="15:73" x14ac:dyDescent="0.2"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</row>
    <row r="389" spans="15:73" x14ac:dyDescent="0.2"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</row>
    <row r="390" spans="15:73" x14ac:dyDescent="0.2"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</row>
    <row r="391" spans="15:73" x14ac:dyDescent="0.2"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</row>
    <row r="392" spans="15:73" x14ac:dyDescent="0.2"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</row>
    <row r="393" spans="15:73" x14ac:dyDescent="0.2"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</row>
    <row r="394" spans="15:73" x14ac:dyDescent="0.2"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</row>
    <row r="395" spans="15:73" x14ac:dyDescent="0.2"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</row>
    <row r="396" spans="15:73" x14ac:dyDescent="0.2"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</row>
    <row r="397" spans="15:73" x14ac:dyDescent="0.2"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</row>
    <row r="398" spans="15:73" x14ac:dyDescent="0.2"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</row>
    <row r="399" spans="15:73" x14ac:dyDescent="0.2"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</row>
    <row r="400" spans="15:73" x14ac:dyDescent="0.2"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</row>
    <row r="401" spans="15:73" x14ac:dyDescent="0.2"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</row>
    <row r="402" spans="15:73" x14ac:dyDescent="0.2"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</row>
    <row r="403" spans="15:73" x14ac:dyDescent="0.2"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</row>
    <row r="404" spans="15:73" x14ac:dyDescent="0.2"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</row>
    <row r="405" spans="15:73" x14ac:dyDescent="0.2"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</row>
    <row r="406" spans="15:73" x14ac:dyDescent="0.2"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</row>
    <row r="407" spans="15:73" x14ac:dyDescent="0.2"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</row>
    <row r="408" spans="15:73" x14ac:dyDescent="0.2"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</row>
    <row r="409" spans="15:73" x14ac:dyDescent="0.2"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</row>
    <row r="410" spans="15:73" x14ac:dyDescent="0.2"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</row>
    <row r="411" spans="15:73" x14ac:dyDescent="0.2"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</row>
    <row r="412" spans="15:73" x14ac:dyDescent="0.2"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</row>
    <row r="413" spans="15:73" x14ac:dyDescent="0.2"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</row>
    <row r="414" spans="15:73" x14ac:dyDescent="0.2"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</row>
    <row r="415" spans="15:73" x14ac:dyDescent="0.2"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</row>
    <row r="416" spans="15:73" x14ac:dyDescent="0.2"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</row>
    <row r="417" spans="15:73" x14ac:dyDescent="0.2"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</row>
    <row r="418" spans="15:73" x14ac:dyDescent="0.2"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</row>
    <row r="419" spans="15:73" x14ac:dyDescent="0.2"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</row>
    <row r="420" spans="15:73" x14ac:dyDescent="0.2"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</row>
    <row r="421" spans="15:73" x14ac:dyDescent="0.2"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</row>
    <row r="422" spans="15:73" x14ac:dyDescent="0.2"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</row>
    <row r="423" spans="15:73" x14ac:dyDescent="0.2"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</row>
    <row r="424" spans="15:73" x14ac:dyDescent="0.2"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</row>
    <row r="425" spans="15:73" x14ac:dyDescent="0.2"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</row>
    <row r="426" spans="15:73" x14ac:dyDescent="0.2"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</row>
    <row r="427" spans="15:73" x14ac:dyDescent="0.2"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</row>
    <row r="428" spans="15:73" x14ac:dyDescent="0.2"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</row>
    <row r="429" spans="15:73" x14ac:dyDescent="0.2"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</row>
    <row r="430" spans="15:73" x14ac:dyDescent="0.2"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</row>
    <row r="431" spans="15:73" x14ac:dyDescent="0.2"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</row>
    <row r="432" spans="15:73" x14ac:dyDescent="0.2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</row>
    <row r="433" spans="15:73" x14ac:dyDescent="0.2"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</row>
    <row r="434" spans="15:73" x14ac:dyDescent="0.2"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</row>
    <row r="435" spans="15:73" x14ac:dyDescent="0.2"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</row>
    <row r="436" spans="15:73" x14ac:dyDescent="0.2"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</row>
    <row r="437" spans="15:73" x14ac:dyDescent="0.2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</row>
    <row r="438" spans="15:73" x14ac:dyDescent="0.2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</row>
    <row r="439" spans="15:73" x14ac:dyDescent="0.2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</row>
    <row r="440" spans="15:73" x14ac:dyDescent="0.2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</row>
    <row r="441" spans="15:73" x14ac:dyDescent="0.2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</row>
    <row r="442" spans="15:73" x14ac:dyDescent="0.2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</row>
    <row r="443" spans="15:73" x14ac:dyDescent="0.2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</row>
    <row r="444" spans="15:73" x14ac:dyDescent="0.2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</row>
    <row r="445" spans="15:73" x14ac:dyDescent="0.2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</row>
    <row r="446" spans="15:73" x14ac:dyDescent="0.2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</row>
    <row r="447" spans="15:73" x14ac:dyDescent="0.2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</row>
    <row r="448" spans="15:73" x14ac:dyDescent="0.2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</row>
    <row r="449" spans="15:73" x14ac:dyDescent="0.2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</row>
    <row r="450" spans="15:73" x14ac:dyDescent="0.2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</row>
    <row r="451" spans="15:73" x14ac:dyDescent="0.2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</row>
    <row r="452" spans="15:73" x14ac:dyDescent="0.2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</row>
    <row r="453" spans="15:73" x14ac:dyDescent="0.2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</row>
    <row r="454" spans="15:73" x14ac:dyDescent="0.2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</row>
    <row r="455" spans="15:73" x14ac:dyDescent="0.2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</row>
    <row r="456" spans="15:73" x14ac:dyDescent="0.2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</row>
    <row r="457" spans="15:73" x14ac:dyDescent="0.2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</row>
    <row r="458" spans="15:73" x14ac:dyDescent="0.2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</row>
    <row r="459" spans="15:73" x14ac:dyDescent="0.2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</row>
    <row r="460" spans="15:73" x14ac:dyDescent="0.2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</row>
    <row r="461" spans="15:73" x14ac:dyDescent="0.2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</row>
    <row r="462" spans="15:73" x14ac:dyDescent="0.2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</row>
    <row r="463" spans="15:73" x14ac:dyDescent="0.2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</row>
    <row r="464" spans="15:73" x14ac:dyDescent="0.2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</row>
    <row r="465" spans="15:73" x14ac:dyDescent="0.2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</row>
    <row r="466" spans="15:73" x14ac:dyDescent="0.2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</row>
    <row r="467" spans="15:73" x14ac:dyDescent="0.2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</row>
    <row r="468" spans="15:73" x14ac:dyDescent="0.2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</row>
    <row r="469" spans="15:73" x14ac:dyDescent="0.2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</row>
    <row r="470" spans="15:73" x14ac:dyDescent="0.2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</row>
    <row r="471" spans="15:73" x14ac:dyDescent="0.2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</row>
    <row r="472" spans="15:73" x14ac:dyDescent="0.2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</row>
    <row r="473" spans="15:73" x14ac:dyDescent="0.2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</row>
    <row r="474" spans="15:73" x14ac:dyDescent="0.2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</row>
    <row r="475" spans="15:73" x14ac:dyDescent="0.2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</row>
    <row r="476" spans="15:73" x14ac:dyDescent="0.2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</row>
    <row r="477" spans="15:73" x14ac:dyDescent="0.2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</row>
    <row r="478" spans="15:73" x14ac:dyDescent="0.2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</row>
    <row r="479" spans="15:73" x14ac:dyDescent="0.2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</row>
    <row r="480" spans="15:73" x14ac:dyDescent="0.2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</row>
    <row r="481" spans="15:73" x14ac:dyDescent="0.2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</row>
    <row r="482" spans="15:73" x14ac:dyDescent="0.2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</row>
    <row r="483" spans="15:73" x14ac:dyDescent="0.2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</row>
    <row r="484" spans="15:73" x14ac:dyDescent="0.2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</row>
    <row r="485" spans="15:73" x14ac:dyDescent="0.2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</row>
    <row r="486" spans="15:73" x14ac:dyDescent="0.2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</row>
    <row r="487" spans="15:73" x14ac:dyDescent="0.2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</row>
    <row r="488" spans="15:73" x14ac:dyDescent="0.2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</row>
    <row r="489" spans="15:73" x14ac:dyDescent="0.2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</row>
    <row r="490" spans="15:73" x14ac:dyDescent="0.2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</row>
    <row r="491" spans="15:73" x14ac:dyDescent="0.2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</row>
    <row r="492" spans="15:73" x14ac:dyDescent="0.2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</row>
    <row r="493" spans="15:73" x14ac:dyDescent="0.2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</row>
    <row r="494" spans="15:73" x14ac:dyDescent="0.2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</row>
    <row r="495" spans="15:73" x14ac:dyDescent="0.2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</row>
    <row r="496" spans="15:73" x14ac:dyDescent="0.2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</row>
    <row r="497" spans="15:73" x14ac:dyDescent="0.2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</row>
    <row r="498" spans="15:73" x14ac:dyDescent="0.2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</row>
    <row r="499" spans="15:73" x14ac:dyDescent="0.2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</row>
    <row r="500" spans="15:73" x14ac:dyDescent="0.2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</row>
    <row r="501" spans="15:73" x14ac:dyDescent="0.2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</row>
    <row r="502" spans="15:73" x14ac:dyDescent="0.2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</row>
    <row r="503" spans="15:73" x14ac:dyDescent="0.2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</row>
    <row r="504" spans="15:73" x14ac:dyDescent="0.2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</row>
    <row r="505" spans="15:73" x14ac:dyDescent="0.2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</row>
    <row r="506" spans="15:73" x14ac:dyDescent="0.2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</row>
    <row r="507" spans="15:73" x14ac:dyDescent="0.2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</row>
    <row r="508" spans="15:73" x14ac:dyDescent="0.2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</row>
    <row r="509" spans="15:73" x14ac:dyDescent="0.2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</row>
    <row r="510" spans="15:73" x14ac:dyDescent="0.2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</row>
    <row r="511" spans="15:73" x14ac:dyDescent="0.2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</row>
    <row r="512" spans="15:73" x14ac:dyDescent="0.2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</row>
    <row r="513" spans="15:73" x14ac:dyDescent="0.2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</row>
    <row r="514" spans="15:73" x14ac:dyDescent="0.2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</row>
    <row r="515" spans="15:73" x14ac:dyDescent="0.2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</row>
    <row r="516" spans="15:73" x14ac:dyDescent="0.2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</row>
    <row r="517" spans="15:73" x14ac:dyDescent="0.2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</row>
    <row r="518" spans="15:73" x14ac:dyDescent="0.2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</row>
    <row r="519" spans="15:73" x14ac:dyDescent="0.2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</row>
    <row r="520" spans="15:73" x14ac:dyDescent="0.2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</row>
    <row r="521" spans="15:73" x14ac:dyDescent="0.2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</row>
    <row r="522" spans="15:73" x14ac:dyDescent="0.2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</row>
    <row r="523" spans="15:73" x14ac:dyDescent="0.2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</row>
    <row r="524" spans="15:73" x14ac:dyDescent="0.2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</row>
    <row r="525" spans="15:73" x14ac:dyDescent="0.2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</row>
    <row r="526" spans="15:73" x14ac:dyDescent="0.2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</row>
    <row r="527" spans="15:73" x14ac:dyDescent="0.2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</row>
    <row r="528" spans="15:73" x14ac:dyDescent="0.2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</row>
    <row r="529" spans="15:73" x14ac:dyDescent="0.2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</row>
    <row r="530" spans="15:73" x14ac:dyDescent="0.2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</row>
    <row r="531" spans="15:73" x14ac:dyDescent="0.2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</row>
    <row r="532" spans="15:73" x14ac:dyDescent="0.2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</row>
  </sheetData>
  <dataConsolidate/>
  <mergeCells count="5">
    <mergeCell ref="B5:C5"/>
    <mergeCell ref="B2:C2"/>
    <mergeCell ref="E2:H2"/>
    <mergeCell ref="J2:M2"/>
    <mergeCell ref="E5:N5"/>
  </mergeCells>
  <phoneticPr fontId="3" type="noConversion"/>
  <pageMargins left="0.75" right="0.75" top="1" bottom="1" header="0.5" footer="0.5"/>
  <pageSetup scale="64" orientation="portrait" verticalDpi="300" r:id="rId1"/>
  <headerFooter alignWithMargins="0"/>
  <ignoredErrors>
    <ignoredError sqref="K6:K7 K15 K23 K19 K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45"/>
  <sheetViews>
    <sheetView showGridLines="0" zoomScaleNormal="100" workbookViewId="0"/>
  </sheetViews>
  <sheetFormatPr defaultRowHeight="12.75" x14ac:dyDescent="0.2"/>
  <cols>
    <col min="1" max="1" width="14.7109375" customWidth="1"/>
    <col min="2" max="2" width="11.7109375" customWidth="1"/>
    <col min="3" max="3" width="10.7109375" customWidth="1"/>
    <col min="4" max="4" width="7.7109375" customWidth="1"/>
    <col min="5" max="5" width="10.7109375" customWidth="1"/>
    <col min="6" max="6" width="1.7109375" customWidth="1"/>
    <col min="7" max="10" width="10.7109375" customWidth="1"/>
    <col min="11" max="11" width="7.7109375" customWidth="1"/>
  </cols>
  <sheetData>
    <row r="1" spans="1:12" ht="14.25" x14ac:dyDescent="0.2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</row>
    <row r="2" spans="1:12" ht="14.25" x14ac:dyDescent="0.2">
      <c r="A2" s="42"/>
      <c r="B2" s="156" t="s">
        <v>0</v>
      </c>
      <c r="C2" s="156"/>
      <c r="D2" s="156"/>
      <c r="E2" s="156"/>
      <c r="F2" s="45"/>
      <c r="G2" s="156" t="s">
        <v>24</v>
      </c>
      <c r="H2" s="156"/>
      <c r="I2" s="156"/>
      <c r="J2" s="42"/>
    </row>
    <row r="3" spans="1:12" ht="14.25" x14ac:dyDescent="0.2">
      <c r="A3" s="42" t="s">
        <v>84</v>
      </c>
      <c r="B3" s="44" t="s">
        <v>8</v>
      </c>
      <c r="C3" s="46"/>
      <c r="D3" s="46"/>
      <c r="E3" s="46"/>
      <c r="F3" s="46"/>
      <c r="G3" s="46"/>
      <c r="H3" s="46"/>
      <c r="I3" s="46"/>
      <c r="J3" s="44" t="s">
        <v>34</v>
      </c>
    </row>
    <row r="4" spans="1:12" ht="14.25" x14ac:dyDescent="0.2">
      <c r="A4" s="47" t="s">
        <v>85</v>
      </c>
      <c r="B4" s="49" t="s">
        <v>33</v>
      </c>
      <c r="C4" s="49" t="s">
        <v>1</v>
      </c>
      <c r="D4" s="49" t="s">
        <v>2</v>
      </c>
      <c r="E4" s="51" t="s">
        <v>32</v>
      </c>
      <c r="F4" s="50"/>
      <c r="G4" s="49" t="s">
        <v>35</v>
      </c>
      <c r="H4" s="49" t="s">
        <v>31</v>
      </c>
      <c r="I4" s="49" t="s">
        <v>32</v>
      </c>
      <c r="J4" s="49" t="s">
        <v>97</v>
      </c>
    </row>
    <row r="5" spans="1:12" ht="14.25" x14ac:dyDescent="0.2">
      <c r="A5" s="42"/>
      <c r="B5" s="155" t="s">
        <v>105</v>
      </c>
      <c r="C5" s="155"/>
      <c r="D5" s="155"/>
      <c r="E5" s="155"/>
      <c r="F5" s="155"/>
      <c r="G5" s="155"/>
      <c r="H5" s="155"/>
      <c r="I5" s="155"/>
      <c r="J5" s="155"/>
    </row>
    <row r="6" spans="1:12" ht="16.5" x14ac:dyDescent="0.2">
      <c r="A6" s="42" t="s">
        <v>126</v>
      </c>
      <c r="B6" s="81">
        <v>263.88600000000002</v>
      </c>
      <c r="C6" s="82">
        <f>C23</f>
        <v>44787.017</v>
      </c>
      <c r="D6" s="82">
        <f>D23</f>
        <v>349.553099354697</v>
      </c>
      <c r="E6" s="82">
        <f>+B6+C6+D6</f>
        <v>45400.456099354698</v>
      </c>
      <c r="F6" s="82"/>
      <c r="G6" s="82">
        <f>+I6-H6</f>
        <v>33419.538222414194</v>
      </c>
      <c r="H6" s="82">
        <f>H23</f>
        <v>11580.287876940511</v>
      </c>
      <c r="I6" s="82">
        <f>+E6-J6</f>
        <v>44999.826099354701</v>
      </c>
      <c r="J6" s="82">
        <f>J22</f>
        <v>400.63</v>
      </c>
    </row>
    <row r="7" spans="1:12" ht="16.5" x14ac:dyDescent="0.2">
      <c r="A7" s="42" t="s">
        <v>145</v>
      </c>
      <c r="B7" s="81">
        <f>J6</f>
        <v>400.63</v>
      </c>
      <c r="C7" s="82">
        <f>C38</f>
        <v>49215.829000000005</v>
      </c>
      <c r="D7" s="82">
        <f>D38</f>
        <v>495.14565941574295</v>
      </c>
      <c r="E7" s="82">
        <f>+B7+C7+D7</f>
        <v>50111.604659415745</v>
      </c>
      <c r="F7" s="82"/>
      <c r="G7" s="82">
        <f>+I7-H7</f>
        <v>34733.11146749364</v>
      </c>
      <c r="H7" s="82">
        <f>H38</f>
        <v>14825.621191922099</v>
      </c>
      <c r="I7" s="82">
        <f>+E7-J7</f>
        <v>49558.732659415742</v>
      </c>
      <c r="J7" s="82">
        <f>J37</f>
        <v>552.87200000000007</v>
      </c>
    </row>
    <row r="8" spans="1:12" ht="16.5" x14ac:dyDescent="0.2">
      <c r="A8" s="42" t="s">
        <v>168</v>
      </c>
      <c r="B8" s="81">
        <f>J7</f>
        <v>552.87200000000007</v>
      </c>
      <c r="C8" s="82">
        <v>49147</v>
      </c>
      <c r="D8" s="82">
        <v>350</v>
      </c>
      <c r="E8" s="82">
        <f>+B8+C8+D8</f>
        <v>50049.872000000003</v>
      </c>
      <c r="F8" s="82"/>
      <c r="G8" s="82">
        <f>+I8-H8</f>
        <v>35849.872000000003</v>
      </c>
      <c r="H8" s="82">
        <v>13750</v>
      </c>
      <c r="I8" s="82">
        <f>+E8-J8</f>
        <v>49599.872000000003</v>
      </c>
      <c r="J8" s="82">
        <v>450</v>
      </c>
    </row>
    <row r="9" spans="1:12" ht="14.25" x14ac:dyDescent="0.2">
      <c r="A9" s="42"/>
      <c r="B9" s="83"/>
      <c r="C9" s="83"/>
      <c r="D9" s="83"/>
      <c r="E9" s="83"/>
      <c r="F9" s="83"/>
      <c r="G9" s="83"/>
      <c r="H9" s="83"/>
      <c r="I9" s="83"/>
      <c r="J9" s="83"/>
    </row>
    <row r="10" spans="1:12" ht="14.25" x14ac:dyDescent="0.2">
      <c r="A10" s="42" t="s">
        <v>119</v>
      </c>
      <c r="B10" s="83"/>
      <c r="C10" s="63"/>
      <c r="D10" s="63"/>
      <c r="E10" s="63"/>
      <c r="F10" s="84"/>
      <c r="G10" s="63"/>
      <c r="H10" s="63"/>
      <c r="I10" s="63"/>
      <c r="J10" s="84"/>
    </row>
    <row r="11" spans="1:12" ht="15.75" x14ac:dyDescent="0.25">
      <c r="A11" s="45" t="s">
        <v>58</v>
      </c>
      <c r="B11" s="85">
        <f>233.715+30.171</f>
        <v>263.88600000000002</v>
      </c>
      <c r="C11" s="63">
        <f>3830.125+273.917</f>
        <v>4104.0420000000004</v>
      </c>
      <c r="D11" s="63">
        <f>(20102.004+3304+507.805)*2.204622/2000</f>
        <v>26.360454712599005</v>
      </c>
      <c r="E11" s="63">
        <f t="shared" ref="E11:E22" si="0">SUM(B11:D11)</f>
        <v>4394.2884547125996</v>
      </c>
      <c r="F11" s="84"/>
      <c r="G11" s="86">
        <f t="shared" ref="G11:G22" si="1">I11-H11</f>
        <v>3084.1154310607744</v>
      </c>
      <c r="H11" s="63">
        <f>((693.141819+2.805+150.046756))*(2.204622/2)</f>
        <v>932.54802365182502</v>
      </c>
      <c r="I11" s="84">
        <f t="shared" ref="I11:I17" si="2">E11-J11</f>
        <v>4016.6634547125996</v>
      </c>
      <c r="J11" s="63">
        <f>335.413+42.212</f>
        <v>377.625</v>
      </c>
      <c r="K11" s="24"/>
      <c r="L11" s="24"/>
    </row>
    <row r="12" spans="1:12" ht="15.75" x14ac:dyDescent="0.25">
      <c r="A12" s="45" t="s">
        <v>59</v>
      </c>
      <c r="B12" s="85">
        <f t="shared" ref="B12:B17" si="3">J11</f>
        <v>377.625</v>
      </c>
      <c r="C12" s="63">
        <f>3739.093+273.414</f>
        <v>4012.5069999999996</v>
      </c>
      <c r="D12" s="63">
        <f>(21497.379+3901+124.943)*2.204622/2000</f>
        <v>28.134638597142001</v>
      </c>
      <c r="E12" s="63">
        <f t="shared" si="0"/>
        <v>4418.2666385971415</v>
      </c>
      <c r="F12" s="84"/>
      <c r="G12" s="86">
        <f t="shared" si="1"/>
        <v>2997.7193717545806</v>
      </c>
      <c r="H12" s="63">
        <f>((667.273621+3.395+247.86913))*(2.204622/2)</f>
        <v>1012.5142668425611</v>
      </c>
      <c r="I12" s="84">
        <f t="shared" si="2"/>
        <v>4010.2336385971416</v>
      </c>
      <c r="J12" s="63">
        <f>361.959+46.074</f>
        <v>408.03300000000002</v>
      </c>
      <c r="K12" s="24"/>
      <c r="L12" s="24"/>
    </row>
    <row r="13" spans="1:12" ht="15.75" x14ac:dyDescent="0.25">
      <c r="A13" s="45" t="s">
        <v>60</v>
      </c>
      <c r="B13" s="85">
        <f t="shared" si="3"/>
        <v>408.03300000000002</v>
      </c>
      <c r="C13" s="63">
        <f>3690.668+273.479</f>
        <v>3964.1469999999999</v>
      </c>
      <c r="D13" s="63">
        <f>(19456.672+4259+130.318)*2.204622/2000</f>
        <v>26.285697082889996</v>
      </c>
      <c r="E13" s="63">
        <f t="shared" si="0"/>
        <v>4398.4656970828901</v>
      </c>
      <c r="F13" s="84"/>
      <c r="G13" s="86">
        <f t="shared" si="1"/>
        <v>3012.4418962973282</v>
      </c>
      <c r="H13" s="63">
        <f>((650.52779+2.548+199.327752))*(2.204622/2)</f>
        <v>939.61380078556203</v>
      </c>
      <c r="I13" s="84">
        <f t="shared" si="2"/>
        <v>3952.0556970828902</v>
      </c>
      <c r="J13" s="63">
        <f>403.901+42.509</f>
        <v>446.41</v>
      </c>
      <c r="K13" s="24"/>
      <c r="L13" s="24"/>
    </row>
    <row r="14" spans="1:12" ht="15.75" x14ac:dyDescent="0.25">
      <c r="A14" s="45" t="s">
        <v>61</v>
      </c>
      <c r="B14" s="85">
        <f t="shared" si="3"/>
        <v>446.41</v>
      </c>
      <c r="C14" s="63">
        <f>3763.462+261.739</f>
        <v>4025.201</v>
      </c>
      <c r="D14" s="63">
        <f>(28030.503+4355+726.884)*2.204622/2000</f>
        <v>36.500148426357001</v>
      </c>
      <c r="E14" s="63">
        <f t="shared" si="0"/>
        <v>4508.1111484263565</v>
      </c>
      <c r="F14" s="84"/>
      <c r="G14" s="86">
        <f t="shared" si="1"/>
        <v>2765.670487608063</v>
      </c>
      <c r="H14" s="63">
        <f>((955.274566+3.027+227.904197))*(2.204622/2)</f>
        <v>1307.5676608182932</v>
      </c>
      <c r="I14" s="84">
        <f t="shared" si="2"/>
        <v>4073.2381484263565</v>
      </c>
      <c r="J14" s="63">
        <f>394.425+40.448</f>
        <v>434.87299999999999</v>
      </c>
      <c r="K14" s="24"/>
      <c r="L14" s="24"/>
    </row>
    <row r="15" spans="1:12" ht="15.75" x14ac:dyDescent="0.25">
      <c r="A15" s="45" t="s">
        <v>62</v>
      </c>
      <c r="B15" s="85">
        <f t="shared" si="3"/>
        <v>434.87299999999999</v>
      </c>
      <c r="C15" s="63">
        <f>3331.018+228.174</f>
        <v>3559.192</v>
      </c>
      <c r="D15" s="63">
        <f>(28166.336+3893+387.116)*2.204622/2000</f>
        <v>35.766080950571997</v>
      </c>
      <c r="E15" s="63">
        <f t="shared" si="0"/>
        <v>4029.831080950572</v>
      </c>
      <c r="F15" s="84"/>
      <c r="G15" s="86">
        <f t="shared" si="1"/>
        <v>2570.4993541711578</v>
      </c>
      <c r="H15" s="63">
        <f>((811.830698+11.508+133.305776))*(2.204622/2)</f>
        <v>1054.5197267794142</v>
      </c>
      <c r="I15" s="84">
        <f t="shared" si="2"/>
        <v>3625.0190809505721</v>
      </c>
      <c r="J15" s="63">
        <f>372.404+32.408</f>
        <v>404.81200000000001</v>
      </c>
      <c r="K15" s="24"/>
      <c r="L15" s="24"/>
    </row>
    <row r="16" spans="1:12" ht="15.75" x14ac:dyDescent="0.25">
      <c r="A16" s="45" t="s">
        <v>63</v>
      </c>
      <c r="B16" s="85">
        <f t="shared" si="3"/>
        <v>404.81200000000001</v>
      </c>
      <c r="C16" s="63">
        <f>3528.733+244.932</f>
        <v>3773.665</v>
      </c>
      <c r="D16" s="63">
        <f>(19135.634+3912+533.996)*2.204622/2000</f>
        <v>25.994290146929998</v>
      </c>
      <c r="E16" s="63">
        <f t="shared" si="0"/>
        <v>4204.4712901469302</v>
      </c>
      <c r="F16" s="84"/>
      <c r="G16" s="86">
        <f t="shared" si="1"/>
        <v>2406.9584856453544</v>
      </c>
      <c r="H16" s="63">
        <f>((1022.929375+3.391+282.778241))*(2.204622/2)</f>
        <v>1443.033804501576</v>
      </c>
      <c r="I16" s="84">
        <f t="shared" si="2"/>
        <v>3849.9922901469304</v>
      </c>
      <c r="J16" s="63">
        <f>318.123+36.356</f>
        <v>354.47899999999998</v>
      </c>
      <c r="K16" s="24"/>
      <c r="L16" s="24"/>
    </row>
    <row r="17" spans="1:12" ht="15.75" x14ac:dyDescent="0.25">
      <c r="A17" s="45" t="s">
        <v>64</v>
      </c>
      <c r="B17" s="85">
        <f t="shared" si="3"/>
        <v>354.47899999999998</v>
      </c>
      <c r="C17" s="63">
        <f>3300.745+222.754</f>
        <v>3523.4989999999998</v>
      </c>
      <c r="D17" s="63">
        <f>(22512.339+3430+234.788)*2.204622/2000</f>
        <v>28.855335040497</v>
      </c>
      <c r="E17" s="63">
        <f t="shared" si="0"/>
        <v>3906.8333350404964</v>
      </c>
      <c r="F17" s="84"/>
      <c r="G17" s="86">
        <f t="shared" si="1"/>
        <v>2566.7881570520294</v>
      </c>
      <c r="H17" s="63">
        <f>((647.334618+15.782+162.344779))*(2.204622/2)</f>
        <v>909.91517798846712</v>
      </c>
      <c r="I17" s="84">
        <f t="shared" si="2"/>
        <v>3476.7033350404963</v>
      </c>
      <c r="J17" s="63">
        <f>387.207+42.923</f>
        <v>430.13</v>
      </c>
      <c r="K17" s="24"/>
      <c r="L17" s="24"/>
    </row>
    <row r="18" spans="1:12" ht="15.75" x14ac:dyDescent="0.25">
      <c r="A18" s="45" t="s">
        <v>65</v>
      </c>
      <c r="B18" s="85">
        <f>J17</f>
        <v>430.13</v>
      </c>
      <c r="C18" s="63">
        <f>3491.318+240.712</f>
        <v>3732.03</v>
      </c>
      <c r="D18" s="63">
        <f>(27160.809+4201+551.493)*2.204622/2000</f>
        <v>35.178383840922002</v>
      </c>
      <c r="E18" s="63">
        <f t="shared" si="0"/>
        <v>4197.3383838409218</v>
      </c>
      <c r="F18" s="84"/>
      <c r="G18" s="86">
        <f t="shared" si="1"/>
        <v>2971.0832916556215</v>
      </c>
      <c r="H18" s="63">
        <f>((586.200742+7.811+130.160558))*(2.204622/2)</f>
        <v>798.26309218530014</v>
      </c>
      <c r="I18" s="84">
        <f>E18-J18</f>
        <v>3769.3463838409216</v>
      </c>
      <c r="J18" s="63">
        <f>375.156+52.836</f>
        <v>427.99200000000002</v>
      </c>
      <c r="K18" s="24"/>
      <c r="L18" s="24"/>
    </row>
    <row r="19" spans="1:12" ht="15.75" x14ac:dyDescent="0.25">
      <c r="A19" s="45" t="s">
        <v>66</v>
      </c>
      <c r="B19" s="85">
        <f>J18</f>
        <v>427.99200000000002</v>
      </c>
      <c r="C19" s="63">
        <f>3268.397+221.13</f>
        <v>3489.527</v>
      </c>
      <c r="D19" s="63">
        <f>(23907.767+3681+352.707)*2.204622/2000</f>
        <v>30.800194146414</v>
      </c>
      <c r="E19" s="63">
        <f t="shared" si="0"/>
        <v>3948.3191941464142</v>
      </c>
      <c r="F19" s="84"/>
      <c r="G19" s="86">
        <f t="shared" si="1"/>
        <v>2747.3111340636342</v>
      </c>
      <c r="H19" s="63">
        <f>((612.180231+14.035+145.823749))*(2.204622/2)</f>
        <v>851.02706008278005</v>
      </c>
      <c r="I19" s="84">
        <f>E19-J19</f>
        <v>3598.338194146414</v>
      </c>
      <c r="J19" s="63">
        <f>314.965+35.016</f>
        <v>349.98099999999999</v>
      </c>
      <c r="K19" s="24"/>
      <c r="L19" s="24"/>
    </row>
    <row r="20" spans="1:12" ht="15.75" x14ac:dyDescent="0.25">
      <c r="A20" s="45" t="s">
        <v>68</v>
      </c>
      <c r="B20" s="85">
        <f>J19</f>
        <v>349.98099999999999</v>
      </c>
      <c r="C20" s="63">
        <f>3400.652+237.432</f>
        <v>3638.0839999999998</v>
      </c>
      <c r="D20" s="63">
        <f>(13681.79+2447+200.791+27.504)*2.204622/2000</f>
        <v>18.030594723435001</v>
      </c>
      <c r="E20" s="63">
        <f t="shared" si="0"/>
        <v>4006.0955947234347</v>
      </c>
      <c r="F20" s="84"/>
      <c r="G20" s="86">
        <f t="shared" si="1"/>
        <v>2809.4328881144875</v>
      </c>
      <c r="H20" s="63">
        <f>((590.3906+5.875+104.955477))*(2.204622/2)</f>
        <v>772.96370660894695</v>
      </c>
      <c r="I20" s="84">
        <f>E20-J20</f>
        <v>3582.3965947234346</v>
      </c>
      <c r="J20" s="63">
        <f>385.868+37.831</f>
        <v>423.69900000000001</v>
      </c>
      <c r="K20" s="24"/>
      <c r="L20" s="24"/>
    </row>
    <row r="21" spans="1:12" ht="15.75" x14ac:dyDescent="0.25">
      <c r="A21" s="45" t="s">
        <v>69</v>
      </c>
      <c r="B21" s="85">
        <f>J20</f>
        <v>423.69900000000001</v>
      </c>
      <c r="C21" s="63">
        <f>3319.155+237.324</f>
        <v>3556.4790000000003</v>
      </c>
      <c r="D21" s="63">
        <f>(22330.612+3449+117.308+1855.441)*2.204622/2000</f>
        <v>30.591732806271001</v>
      </c>
      <c r="E21" s="63">
        <f t="shared" si="0"/>
        <v>4010.7697328062713</v>
      </c>
      <c r="F21" s="84"/>
      <c r="G21" s="86">
        <f t="shared" si="1"/>
        <v>2811.3092298311171</v>
      </c>
      <c r="H21" s="63">
        <f>((664.517336+4.113+123.324478))*(2.204622/2)</f>
        <v>872.98050297515408</v>
      </c>
      <c r="I21" s="84">
        <f>E21-J21</f>
        <v>3684.2897328062713</v>
      </c>
      <c r="J21" s="63">
        <f>290.921+35.559</f>
        <v>326.48</v>
      </c>
      <c r="K21" s="24"/>
      <c r="L21" s="24"/>
    </row>
    <row r="22" spans="1:12" ht="15.75" x14ac:dyDescent="0.25">
      <c r="A22" s="45" t="s">
        <v>71</v>
      </c>
      <c r="B22" s="85">
        <f>J21</f>
        <v>326.48</v>
      </c>
      <c r="C22" s="63">
        <f>3188.771+219.873</f>
        <v>3408.6440000000002</v>
      </c>
      <c r="D22" s="63">
        <f>(20397.093+4027+105.104+15.191)*2.204622/2000</f>
        <v>27.055548880667999</v>
      </c>
      <c r="E22" s="63">
        <f t="shared" si="0"/>
        <v>3762.1795488806683</v>
      </c>
      <c r="F22" s="84"/>
      <c r="G22" s="86">
        <f t="shared" si="1"/>
        <v>2676.2084951600373</v>
      </c>
      <c r="H22" s="63">
        <f>((490.716665+4.872+126.142456))*(2.204622/2)</f>
        <v>685.34105372063107</v>
      </c>
      <c r="I22" s="84">
        <f>E22-J22</f>
        <v>3361.5495488806682</v>
      </c>
      <c r="J22" s="63">
        <f>353.758+46.872</f>
        <v>400.63</v>
      </c>
      <c r="K22" s="24"/>
      <c r="L22" s="24"/>
    </row>
    <row r="23" spans="1:12" ht="15.75" x14ac:dyDescent="0.25">
      <c r="A23" s="45" t="s">
        <v>38</v>
      </c>
      <c r="B23" s="85"/>
      <c r="C23" s="63">
        <f>SUM(C11:C22)</f>
        <v>44787.017</v>
      </c>
      <c r="D23" s="63">
        <f>SUM(D11:D22)</f>
        <v>349.553099354697</v>
      </c>
      <c r="E23" s="63">
        <f>B11+C23+D23</f>
        <v>45400.456099354698</v>
      </c>
      <c r="F23" s="84"/>
      <c r="G23" s="86">
        <f>SUM(G11:G22)</f>
        <v>33419.538222414179</v>
      </c>
      <c r="H23" s="63">
        <f>SUM(H11:H22)</f>
        <v>11580.287876940511</v>
      </c>
      <c r="I23" s="84">
        <f>SUM(I11:I22)</f>
        <v>44999.826099354694</v>
      </c>
      <c r="J23" s="63"/>
      <c r="K23" s="24"/>
      <c r="L23" s="24"/>
    </row>
    <row r="24" spans="1:12" ht="15.75" x14ac:dyDescent="0.25">
      <c r="A24" s="45"/>
      <c r="B24" s="85"/>
      <c r="C24" s="63"/>
      <c r="D24" s="63"/>
      <c r="E24" s="63"/>
      <c r="F24" s="84"/>
      <c r="G24" s="86"/>
      <c r="H24" s="63"/>
      <c r="I24" s="84"/>
      <c r="J24" s="63"/>
      <c r="K24" s="24"/>
      <c r="L24" s="24"/>
    </row>
    <row r="25" spans="1:12" ht="14.25" x14ac:dyDescent="0.2">
      <c r="A25" s="42" t="s">
        <v>121</v>
      </c>
      <c r="B25" s="83"/>
      <c r="C25" s="63"/>
      <c r="D25" s="63"/>
      <c r="E25" s="63"/>
      <c r="F25" s="84"/>
      <c r="G25" s="63"/>
      <c r="H25" s="63"/>
      <c r="I25" s="63"/>
      <c r="J25" s="84"/>
    </row>
    <row r="26" spans="1:12" ht="15.75" x14ac:dyDescent="0.25">
      <c r="A26" s="45" t="s">
        <v>58</v>
      </c>
      <c r="B26" s="85">
        <f>J22</f>
        <v>400.63</v>
      </c>
      <c r="C26" s="63">
        <f>3847.77+276.055</f>
        <v>4123.8249999999998</v>
      </c>
      <c r="D26" s="63">
        <f>(22847.236+3613+112.237+227.84)*2.204622/2000</f>
        <v>29.542279823343005</v>
      </c>
      <c r="E26" s="63">
        <f t="shared" ref="E26:E31" si="4">SUM(B26:D26)</f>
        <v>4553.997279823343</v>
      </c>
      <c r="F26" s="84"/>
      <c r="G26" s="86">
        <f t="shared" ref="G26:G31" si="5">I26-H26</f>
        <v>3378.7416613199302</v>
      </c>
      <c r="H26" s="63">
        <f>((600.174309+9.196+100.005374))*(2.204622/2)</f>
        <v>781.95261850341296</v>
      </c>
      <c r="I26" s="84">
        <f t="shared" ref="I26:I32" si="6">E26-J26</f>
        <v>4160.6942798233431</v>
      </c>
      <c r="J26" s="63">
        <f>350.935+42.368</f>
        <v>393.303</v>
      </c>
      <c r="K26" s="24"/>
      <c r="L26" s="24"/>
    </row>
    <row r="27" spans="1:12" ht="15.75" x14ac:dyDescent="0.25">
      <c r="A27" s="45" t="s">
        <v>59</v>
      </c>
      <c r="B27" s="85">
        <f t="shared" ref="B27:B33" si="7">J26</f>
        <v>393.303</v>
      </c>
      <c r="C27" s="63">
        <f>3829.14+272.552</f>
        <v>4101.692</v>
      </c>
      <c r="D27" s="63">
        <f>(24089.253+6879+138.856+88.687)*2.204622/2000</f>
        <v>34.387469084556002</v>
      </c>
      <c r="E27" s="63">
        <f t="shared" si="4"/>
        <v>4529.3824690845559</v>
      </c>
      <c r="F27" s="84"/>
      <c r="G27" s="86">
        <f t="shared" si="5"/>
        <v>3025.7385579029396</v>
      </c>
      <c r="H27" s="63">
        <f>((805.972095+9.59+195.528161))*(2.204622/2)</f>
        <v>1114.535911181616</v>
      </c>
      <c r="I27" s="84">
        <f t="shared" si="6"/>
        <v>4140.2744690845557</v>
      </c>
      <c r="J27" s="63">
        <f>354.998+34.11</f>
        <v>389.108</v>
      </c>
      <c r="K27" s="24"/>
      <c r="L27" s="24"/>
    </row>
    <row r="28" spans="1:12" ht="15.75" x14ac:dyDescent="0.25">
      <c r="A28" s="45" t="s">
        <v>60</v>
      </c>
      <c r="B28" s="85">
        <f t="shared" si="7"/>
        <v>389.108</v>
      </c>
      <c r="C28" s="63">
        <f>3904.161+268.856</f>
        <v>4173.0169999999998</v>
      </c>
      <c r="D28" s="63">
        <f>(24389.331+4562+327.365+22.939)*2.204622/2000</f>
        <v>32.299514578485002</v>
      </c>
      <c r="E28" s="63">
        <f t="shared" si="4"/>
        <v>4594.4245145784853</v>
      </c>
      <c r="F28" s="84"/>
      <c r="G28" s="86">
        <f t="shared" si="5"/>
        <v>2850.6246743459992</v>
      </c>
      <c r="H28" s="63">
        <f>((830.201079+4.499+243.868347))*(2.204622/2)</f>
        <v>1188.917840232486</v>
      </c>
      <c r="I28" s="84">
        <f t="shared" si="6"/>
        <v>4039.5425145784852</v>
      </c>
      <c r="J28" s="63">
        <f>506.203+48.679</f>
        <v>554.88199999999995</v>
      </c>
      <c r="K28" s="24"/>
      <c r="L28" s="24"/>
    </row>
    <row r="29" spans="1:12" ht="15.75" x14ac:dyDescent="0.25">
      <c r="A29" s="45" t="s">
        <v>61</v>
      </c>
      <c r="B29" s="85">
        <f t="shared" si="7"/>
        <v>554.88199999999995</v>
      </c>
      <c r="C29" s="63">
        <f>3859.849+268.466</f>
        <v>4128.3150000000005</v>
      </c>
      <c r="D29" s="63">
        <f>(36971.805+5379+529.766+155.003)*2.204622/2000</f>
        <v>47.438586611514005</v>
      </c>
      <c r="E29" s="63">
        <f t="shared" si="4"/>
        <v>4730.6355866115146</v>
      </c>
      <c r="F29" s="84"/>
      <c r="G29" s="86">
        <f t="shared" si="5"/>
        <v>3137.9027527343933</v>
      </c>
      <c r="H29" s="63">
        <f>((963.675889+8.332+100.939613))*(2.204622/2)</f>
        <v>1182.721833877122</v>
      </c>
      <c r="I29" s="84">
        <f t="shared" si="6"/>
        <v>4320.624586611515</v>
      </c>
      <c r="J29" s="63">
        <f>379.359+30.652</f>
        <v>410.01099999999997</v>
      </c>
      <c r="K29" s="24"/>
      <c r="L29" s="24"/>
    </row>
    <row r="30" spans="1:12" ht="15.75" x14ac:dyDescent="0.25">
      <c r="A30" s="45" t="s">
        <v>62</v>
      </c>
      <c r="B30" s="85">
        <f t="shared" si="7"/>
        <v>410.01099999999997</v>
      </c>
      <c r="C30" s="63">
        <f>3651.786+247.786</f>
        <v>3899.5720000000001</v>
      </c>
      <c r="D30" s="63">
        <f>(38660.509+4701+268.165+52.191)*2.204622/2000</f>
        <v>48.151000290014998</v>
      </c>
      <c r="E30" s="63">
        <f t="shared" si="4"/>
        <v>4357.7340002900155</v>
      </c>
      <c r="F30" s="84"/>
      <c r="G30" s="86">
        <f t="shared" si="5"/>
        <v>2658.6559813247736</v>
      </c>
      <c r="H30" s="63">
        <f>((928.305283+11.173+188.412139))*(2.204622/2)</f>
        <v>1243.286018965242</v>
      </c>
      <c r="I30" s="84">
        <f t="shared" si="6"/>
        <v>3901.9420002900156</v>
      </c>
      <c r="J30" s="63">
        <f>415.077+40.715</f>
        <v>455.79200000000003</v>
      </c>
      <c r="K30" s="24"/>
      <c r="L30" s="24"/>
    </row>
    <row r="31" spans="1:12" ht="15.75" x14ac:dyDescent="0.25">
      <c r="A31" s="45" t="s">
        <v>63</v>
      </c>
      <c r="B31" s="85">
        <f t="shared" si="7"/>
        <v>455.79200000000003</v>
      </c>
      <c r="C31" s="63">
        <f>4029.272+277.277</f>
        <v>4306.549</v>
      </c>
      <c r="D31" s="63">
        <f>(44293.716+6632+552.284+45.659)*2.204622/2000</f>
        <v>56.795096075949004</v>
      </c>
      <c r="E31" s="63">
        <f t="shared" si="4"/>
        <v>4819.1360960759494</v>
      </c>
      <c r="F31" s="84"/>
      <c r="G31" s="86">
        <f t="shared" si="5"/>
        <v>2860.0986151257603</v>
      </c>
      <c r="H31" s="63">
        <f>((1087.910534+8.669+186.947965))*(2.204622/2)</f>
        <v>1414.8464809501893</v>
      </c>
      <c r="I31" s="84">
        <f t="shared" si="6"/>
        <v>4274.9450960759496</v>
      </c>
      <c r="J31" s="63">
        <f>492.224+51.967</f>
        <v>544.19100000000003</v>
      </c>
      <c r="K31" s="24"/>
      <c r="L31" s="24"/>
    </row>
    <row r="32" spans="1:12" ht="15.75" x14ac:dyDescent="0.25">
      <c r="A32" s="45" t="s">
        <v>64</v>
      </c>
      <c r="B32" s="85">
        <f t="shared" si="7"/>
        <v>544.19100000000003</v>
      </c>
      <c r="C32" s="63">
        <f>3822.338+257.585</f>
        <v>4079.9230000000002</v>
      </c>
      <c r="D32" s="63">
        <f>(28045.93+7488+746.07+92.753)*2.204622/2000</f>
        <v>40.094085732182997</v>
      </c>
      <c r="E32" s="63">
        <f t="shared" ref="E32:E37" si="8">SUM(B32:D32)</f>
        <v>4664.2080857321835</v>
      </c>
      <c r="F32" s="84"/>
      <c r="G32" s="86">
        <f t="shared" ref="G32:G37" si="9">I32-H32</f>
        <v>2883.6715361031738</v>
      </c>
      <c r="H32" s="63">
        <f>((939.851833+12.285+252.977286))*(2.204622/2)</f>
        <v>1328.4105496290092</v>
      </c>
      <c r="I32" s="84">
        <f t="shared" si="6"/>
        <v>4212.0820857321833</v>
      </c>
      <c r="J32" s="63">
        <f>404.468+47.658</f>
        <v>452.12600000000003</v>
      </c>
      <c r="K32" s="24"/>
      <c r="L32" s="24"/>
    </row>
    <row r="33" spans="1:12" ht="15.75" x14ac:dyDescent="0.25">
      <c r="A33" s="45" t="s">
        <v>65</v>
      </c>
      <c r="B33" s="85">
        <f t="shared" si="7"/>
        <v>452.12600000000003</v>
      </c>
      <c r="C33" s="63">
        <f>3846.687+262.574</f>
        <v>4109.2609999999995</v>
      </c>
      <c r="D33" s="63">
        <f>(30307.778+8732+999.903+277.738)*2.204622/2000</f>
        <v>44.442334455308995</v>
      </c>
      <c r="E33" s="63">
        <f t="shared" si="8"/>
        <v>4605.8293344553085</v>
      </c>
      <c r="F33" s="84"/>
      <c r="G33" s="86">
        <f t="shared" si="9"/>
        <v>2837.7341102318351</v>
      </c>
      <c r="H33" s="63">
        <f>((931.728038+14.292+265.043105))*(2.204622/2)</f>
        <v>1334.968224223473</v>
      </c>
      <c r="I33" s="84">
        <f>E33-J33</f>
        <v>4172.7023344553081</v>
      </c>
      <c r="J33" s="63">
        <f>391.812+41.315</f>
        <v>433.12700000000001</v>
      </c>
      <c r="K33" s="24"/>
      <c r="L33" s="24"/>
    </row>
    <row r="34" spans="1:12" ht="15.75" x14ac:dyDescent="0.25">
      <c r="A34" s="45" t="s">
        <v>66</v>
      </c>
      <c r="B34" s="85">
        <f>J33</f>
        <v>433.12700000000001</v>
      </c>
      <c r="C34" s="63">
        <f>3778.127+254.192</f>
        <v>4032.319</v>
      </c>
      <c r="D34" s="63">
        <f>(32240.674+5482+601.309+347.659)*2.204622/2000</f>
        <v>42.628176364662004</v>
      </c>
      <c r="E34" s="63">
        <f t="shared" si="8"/>
        <v>4508.074176364662</v>
      </c>
      <c r="F34" s="84"/>
      <c r="G34" s="86">
        <f t="shared" si="9"/>
        <v>2631.8480803154871</v>
      </c>
      <c r="H34" s="63">
        <f>((1029.570683+13.178+297.795951))*(2.204622/2)</f>
        <v>1477.6970960491742</v>
      </c>
      <c r="I34" s="84">
        <f>E34-J34</f>
        <v>4109.5451763646615</v>
      </c>
      <c r="J34" s="63">
        <f>359.823+38.706</f>
        <v>398.529</v>
      </c>
      <c r="K34" s="24"/>
      <c r="L34" s="24"/>
    </row>
    <row r="35" spans="1:12" ht="15.75" x14ac:dyDescent="0.25">
      <c r="A35" s="45" t="s">
        <v>68</v>
      </c>
      <c r="B35" s="85">
        <f>J34</f>
        <v>398.529</v>
      </c>
      <c r="C35" s="63">
        <f>3979.12+265.562</f>
        <v>4244.6819999999998</v>
      </c>
      <c r="D35" s="63">
        <f>(25790.768+9506+404.699+474.826)*2.204622/2000</f>
        <v>39.877525713122992</v>
      </c>
      <c r="E35" s="63">
        <f t="shared" si="8"/>
        <v>4683.0885257131222</v>
      </c>
      <c r="F35" s="84"/>
      <c r="G35" s="86">
        <f t="shared" si="9"/>
        <v>2917.1928897382468</v>
      </c>
      <c r="H35" s="63">
        <f>((871.419645+16.308+249.39848))*(2.204622/2)</f>
        <v>1253.4666359748751</v>
      </c>
      <c r="I35" s="84">
        <f>E35-J35</f>
        <v>4170.6595257131221</v>
      </c>
      <c r="J35" s="63">
        <f>462.35+50.079</f>
        <v>512.42899999999997</v>
      </c>
      <c r="K35" s="24"/>
      <c r="L35" s="24"/>
    </row>
    <row r="36" spans="1:12" ht="15.75" x14ac:dyDescent="0.25">
      <c r="A36" s="45" t="s">
        <v>69</v>
      </c>
      <c r="B36" s="85">
        <f>J35</f>
        <v>512.42899999999997</v>
      </c>
      <c r="C36" s="63">
        <f>3771.727+259.078</f>
        <v>4030.8049999999998</v>
      </c>
      <c r="D36" s="63">
        <f>(30811.776+9784+380.962+375.799)*2.204622/2000</f>
        <v>45.583356413007003</v>
      </c>
      <c r="E36" s="63">
        <f t="shared" si="8"/>
        <v>4588.8173564130066</v>
      </c>
      <c r="F36" s="84"/>
      <c r="G36" s="86">
        <f t="shared" si="9"/>
        <v>2843.5690296272546</v>
      </c>
      <c r="H36" s="63">
        <f>((990.184003+14.522+214.727829))*(2.204622/2)</f>
        <v>1344.1953267857521</v>
      </c>
      <c r="I36" s="84">
        <f>E36-J36</f>
        <v>4187.7643564130067</v>
      </c>
      <c r="J36" s="63">
        <f>359.936+41.117</f>
        <v>401.053</v>
      </c>
      <c r="K36" s="24"/>
      <c r="L36" s="24"/>
    </row>
    <row r="37" spans="1:12" ht="15.75" x14ac:dyDescent="0.25">
      <c r="A37" s="45" t="s">
        <v>71</v>
      </c>
      <c r="B37" s="85">
        <f>J36</f>
        <v>401.053</v>
      </c>
      <c r="C37" s="63">
        <f>3731.6+254.269</f>
        <v>3985.8689999999997</v>
      </c>
      <c r="D37" s="63">
        <f>(21488.826+7910+984.314+376.087)*2.204622/2000</f>
        <v>33.906234273597001</v>
      </c>
      <c r="E37" s="63">
        <f t="shared" si="8"/>
        <v>4420.8282342735965</v>
      </c>
      <c r="F37" s="84"/>
      <c r="G37" s="86">
        <f t="shared" si="9"/>
        <v>2707.3335787238475</v>
      </c>
      <c r="H37" s="63">
        <f>((822.935166+16.362+213.602293))*(2.204622/2)</f>
        <v>1160.622655549749</v>
      </c>
      <c r="I37" s="84">
        <f>E37-J37</f>
        <v>3867.9562342735962</v>
      </c>
      <c r="J37" s="63">
        <f>498.862+54.01</f>
        <v>552.87200000000007</v>
      </c>
      <c r="K37" s="24"/>
      <c r="L37" s="24"/>
    </row>
    <row r="38" spans="1:12" ht="14.25" x14ac:dyDescent="0.2">
      <c r="A38" s="41" t="s">
        <v>3</v>
      </c>
      <c r="B38" s="87"/>
      <c r="C38" s="72">
        <f>SUM(C26:C37)</f>
        <v>49215.829000000005</v>
      </c>
      <c r="D38" s="72">
        <f>SUM(D26:D37)</f>
        <v>495.14565941574295</v>
      </c>
      <c r="E38" s="72">
        <f>B26+C38+D38</f>
        <v>50111.604659415745</v>
      </c>
      <c r="F38" s="72"/>
      <c r="G38" s="72">
        <f>SUM(G26:G37)</f>
        <v>34733.11146749364</v>
      </c>
      <c r="H38" s="72">
        <f>SUM(H26:H37)</f>
        <v>14825.621191922099</v>
      </c>
      <c r="I38" s="72">
        <f>SUM(I26:I37)</f>
        <v>49558.732659415735</v>
      </c>
      <c r="J38" s="72"/>
    </row>
    <row r="39" spans="1:12" ht="16.5" x14ac:dyDescent="0.2">
      <c r="A39" s="88" t="s">
        <v>130</v>
      </c>
      <c r="B39" s="42"/>
      <c r="C39" s="42"/>
      <c r="D39" s="42"/>
      <c r="E39" s="42"/>
      <c r="F39" s="42"/>
      <c r="G39" s="42"/>
      <c r="H39" s="42"/>
      <c r="I39" s="42"/>
      <c r="J39" s="42"/>
    </row>
    <row r="40" spans="1:12" ht="14.25" x14ac:dyDescent="0.2">
      <c r="A40" s="42" t="s">
        <v>131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12" ht="14.25" x14ac:dyDescent="0.2">
      <c r="A41" s="42" t="s">
        <v>26</v>
      </c>
      <c r="B41" s="80">
        <f ca="1">NOW()</f>
        <v>43417.408640856484</v>
      </c>
      <c r="C41" s="62"/>
      <c r="D41" s="58"/>
      <c r="E41" s="58"/>
      <c r="F41" s="58"/>
      <c r="G41" s="58"/>
      <c r="H41" s="58"/>
      <c r="I41" s="58"/>
      <c r="J41" s="58"/>
    </row>
    <row r="42" spans="1:12" x14ac:dyDescent="0.2">
      <c r="A42" s="1"/>
      <c r="B42" s="3"/>
      <c r="C42" s="4"/>
      <c r="D42" s="3"/>
      <c r="E42" s="3"/>
      <c r="F42" s="3"/>
      <c r="G42" s="3"/>
      <c r="H42" s="5"/>
      <c r="I42" s="3"/>
      <c r="J42" s="3"/>
    </row>
    <row r="43" spans="1:12" x14ac:dyDescent="0.2">
      <c r="A43" s="1"/>
      <c r="B43" s="3"/>
      <c r="C43" s="3"/>
      <c r="D43" s="3"/>
      <c r="E43" s="3"/>
      <c r="F43" s="3"/>
      <c r="G43" s="3"/>
      <c r="H43" s="3"/>
      <c r="I43" s="3"/>
      <c r="J43" s="3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</sheetData>
  <mergeCells count="3">
    <mergeCell ref="G2:I2"/>
    <mergeCell ref="B5:J5"/>
    <mergeCell ref="B2:E2"/>
  </mergeCells>
  <phoneticPr fontId="3" type="noConversion"/>
  <pageMargins left="0.75" right="0.75" top="1" bottom="1" header="0.5" footer="0.5"/>
  <pageSetup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42"/>
  <sheetViews>
    <sheetView showGridLines="0" zoomScaleNormal="100" workbookViewId="0"/>
  </sheetViews>
  <sheetFormatPr defaultRowHeight="12.75" x14ac:dyDescent="0.2"/>
  <cols>
    <col min="1" max="1" width="14.5703125" customWidth="1"/>
    <col min="2" max="2" width="11.7109375" customWidth="1"/>
    <col min="3" max="3" width="10.7109375" customWidth="1"/>
    <col min="4" max="4" width="9.5703125" bestFit="1" customWidth="1"/>
    <col min="5" max="5" width="11.28515625" bestFit="1" customWidth="1"/>
    <col min="6" max="6" width="3.7109375" customWidth="1"/>
    <col min="7" max="7" width="10.7109375" bestFit="1" customWidth="1"/>
    <col min="8" max="8" width="10.7109375" customWidth="1"/>
    <col min="9" max="9" width="12.7109375" customWidth="1"/>
    <col min="10" max="10" width="9.7109375" customWidth="1"/>
    <col min="11" max="11" width="10.7109375" customWidth="1"/>
    <col min="12" max="12" width="9.5703125" bestFit="1" customWidth="1"/>
    <col min="14" max="14" width="9.28515625" bestFit="1" customWidth="1"/>
  </cols>
  <sheetData>
    <row r="1" spans="1:13" ht="14.25" x14ac:dyDescent="0.2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ht="14.25" x14ac:dyDescent="0.2">
      <c r="A2" s="42"/>
      <c r="B2" s="156" t="s">
        <v>0</v>
      </c>
      <c r="C2" s="156"/>
      <c r="D2" s="156"/>
      <c r="E2" s="156"/>
      <c r="F2" s="45"/>
      <c r="G2" s="156" t="s">
        <v>24</v>
      </c>
      <c r="H2" s="156"/>
      <c r="I2" s="156"/>
      <c r="J2" s="43"/>
      <c r="K2" s="43"/>
      <c r="L2" s="42"/>
    </row>
    <row r="3" spans="1:13" ht="14.25" x14ac:dyDescent="0.2">
      <c r="A3" s="42" t="s">
        <v>84</v>
      </c>
      <c r="B3" s="44" t="s">
        <v>36</v>
      </c>
      <c r="C3" s="89" t="s">
        <v>1</v>
      </c>
      <c r="D3" s="89" t="s">
        <v>37</v>
      </c>
      <c r="E3" s="89" t="s">
        <v>32</v>
      </c>
      <c r="F3" s="89"/>
      <c r="G3" s="43" t="s">
        <v>35</v>
      </c>
      <c r="H3" s="43"/>
      <c r="I3" s="43"/>
      <c r="J3" s="89" t="s">
        <v>39</v>
      </c>
      <c r="K3" s="89" t="s">
        <v>32</v>
      </c>
      <c r="L3" s="89" t="s">
        <v>34</v>
      </c>
    </row>
    <row r="4" spans="1:13" ht="14.25" x14ac:dyDescent="0.2">
      <c r="A4" s="47" t="s">
        <v>85</v>
      </c>
      <c r="B4" s="49" t="s">
        <v>33</v>
      </c>
      <c r="C4" s="50"/>
      <c r="D4" s="50"/>
      <c r="E4" s="50"/>
      <c r="F4" s="50"/>
      <c r="G4" s="49" t="s">
        <v>3</v>
      </c>
      <c r="H4" s="49" t="s">
        <v>98</v>
      </c>
      <c r="I4" s="49" t="s">
        <v>120</v>
      </c>
      <c r="J4" s="50"/>
      <c r="K4" s="50"/>
      <c r="L4" s="89" t="s">
        <v>97</v>
      </c>
    </row>
    <row r="5" spans="1:13" ht="14.25" x14ac:dyDescent="0.2">
      <c r="A5" s="42"/>
      <c r="B5" s="154" t="s">
        <v>111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1:13" ht="14.25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3" ht="16.5" x14ac:dyDescent="0.2">
      <c r="A7" s="42" t="s">
        <v>126</v>
      </c>
      <c r="B7" s="83">
        <v>1686.8130000000001</v>
      </c>
      <c r="C7" s="83">
        <f>C24</f>
        <v>22123.409</v>
      </c>
      <c r="D7" s="83">
        <f>D24</f>
        <v>318.70876757353199</v>
      </c>
      <c r="E7" s="83">
        <f>+B7+C7+D7</f>
        <v>24128.930767573533</v>
      </c>
      <c r="F7" s="83"/>
      <c r="G7" s="83">
        <f>+K7-J7</f>
        <v>19862.314534937181</v>
      </c>
      <c r="H7" s="83">
        <f>H24</f>
        <v>6200.2999999999993</v>
      </c>
      <c r="I7" s="83">
        <f>G7-H7</f>
        <v>13662.014534937181</v>
      </c>
      <c r="J7" s="83">
        <f>J24</f>
        <v>2555.6622326363517</v>
      </c>
      <c r="K7" s="83">
        <f>+E7-L7</f>
        <v>22417.976767573531</v>
      </c>
      <c r="L7" s="83">
        <f>L23</f>
        <v>1710.954</v>
      </c>
      <c r="M7" s="17"/>
    </row>
    <row r="8" spans="1:13" ht="16.5" x14ac:dyDescent="0.2">
      <c r="A8" s="42" t="s">
        <v>127</v>
      </c>
      <c r="B8" s="83">
        <f>+L7</f>
        <v>1710.954</v>
      </c>
      <c r="C8" s="83">
        <f>C39</f>
        <v>23767.204000000002</v>
      </c>
      <c r="D8" s="83">
        <f>D39</f>
        <v>335.42550569064605</v>
      </c>
      <c r="E8" s="83">
        <f>+B8+C8+D8</f>
        <v>25813.583505690651</v>
      </c>
      <c r="F8" s="83"/>
      <c r="G8" s="83">
        <f>+K8-J8</f>
        <v>21376.433166286213</v>
      </c>
      <c r="H8" s="83">
        <v>7150</v>
      </c>
      <c r="I8" s="83">
        <f>G8-H8</f>
        <v>14226.433166286213</v>
      </c>
      <c r="J8" s="83">
        <f>J39</f>
        <v>2447.109339404436</v>
      </c>
      <c r="K8" s="83">
        <f>+E8-L8</f>
        <v>23823.54250569065</v>
      </c>
      <c r="L8" s="83">
        <f>L38</f>
        <v>1990.0409999999999</v>
      </c>
      <c r="M8" s="17"/>
    </row>
    <row r="9" spans="1:13" ht="16.5" x14ac:dyDescent="0.2">
      <c r="A9" s="42" t="s">
        <v>168</v>
      </c>
      <c r="B9" s="83">
        <f>+L8</f>
        <v>1990.0409999999999</v>
      </c>
      <c r="C9" s="83">
        <v>24025</v>
      </c>
      <c r="D9" s="83">
        <v>300</v>
      </c>
      <c r="E9" s="83">
        <f>+B9+C9+D9</f>
        <v>26315.041000000001</v>
      </c>
      <c r="F9" s="83"/>
      <c r="G9" s="83">
        <f>+K9-J9</f>
        <v>22200.041000000001</v>
      </c>
      <c r="H9" s="83">
        <v>7800</v>
      </c>
      <c r="I9" s="83">
        <f>G9-H9</f>
        <v>14400.041000000001</v>
      </c>
      <c r="J9" s="83">
        <v>2200</v>
      </c>
      <c r="K9" s="83">
        <f>+E9-L9</f>
        <v>24400.041000000001</v>
      </c>
      <c r="L9" s="83">
        <v>1915</v>
      </c>
      <c r="M9" s="17"/>
    </row>
    <row r="10" spans="1:13" ht="14.25" x14ac:dyDescent="0.2">
      <c r="A10" s="4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17"/>
    </row>
    <row r="11" spans="1:13" ht="14.25" x14ac:dyDescent="0.2">
      <c r="A11" s="42" t="s">
        <v>119</v>
      </c>
      <c r="B11" s="83"/>
      <c r="C11" s="63"/>
      <c r="D11" s="63"/>
      <c r="E11" s="63"/>
      <c r="F11" s="84"/>
      <c r="G11" s="63"/>
      <c r="H11" s="63"/>
      <c r="I11" s="63"/>
      <c r="J11" s="63"/>
      <c r="K11" s="63"/>
      <c r="L11" s="84"/>
    </row>
    <row r="12" spans="1:13" ht="14.25" x14ac:dyDescent="0.2">
      <c r="A12" s="45" t="s">
        <v>58</v>
      </c>
      <c r="B12" s="84">
        <f>1417.4+269.413</f>
        <v>1686.8130000000001</v>
      </c>
      <c r="C12" s="90">
        <v>2028.518</v>
      </c>
      <c r="D12" s="84">
        <f>(0.434626+0+6.110958+0)*2.204622</f>
        <v>14.430538489248001</v>
      </c>
      <c r="E12" s="84">
        <f t="shared" ref="E12:E23" si="0">SUM(B12:D12)</f>
        <v>3729.7615384892483</v>
      </c>
      <c r="F12" s="84"/>
      <c r="G12" s="84">
        <f t="shared" ref="G12:G23" si="1">K12-J12</f>
        <v>1693.4684488477524</v>
      </c>
      <c r="H12" s="84">
        <v>525.96</v>
      </c>
      <c r="I12" s="84">
        <f t="shared" ref="I12:I23" si="2">G12-H12</f>
        <v>1167.5084488477523</v>
      </c>
      <c r="J12" s="84">
        <f>(87.527672+0.238795+21.038125+0.503076)*2.204622</f>
        <v>240.98208964149597</v>
      </c>
      <c r="K12" s="84">
        <f t="shared" ref="K12:K23" si="3">E12-L12</f>
        <v>1934.4505384892484</v>
      </c>
      <c r="L12" s="84">
        <f>1437.483+357.828</f>
        <v>1795.3109999999999</v>
      </c>
    </row>
    <row r="13" spans="1:13" ht="14.25" x14ac:dyDescent="0.2">
      <c r="A13" s="45" t="s">
        <v>59</v>
      </c>
      <c r="B13" s="84">
        <f t="shared" ref="B13:B18" si="4">L12</f>
        <v>1795.3109999999999</v>
      </c>
      <c r="C13" s="90">
        <v>1961.2560000000001</v>
      </c>
      <c r="D13" s="84">
        <f>(11.291133+0+6.136446+0)*2.204622</f>
        <v>38.421224070138003</v>
      </c>
      <c r="E13" s="84">
        <f t="shared" si="0"/>
        <v>3794.9882240701381</v>
      </c>
      <c r="F13" s="84"/>
      <c r="G13" s="84">
        <f t="shared" si="1"/>
        <v>1777.576038563534</v>
      </c>
      <c r="H13" s="84">
        <v>595.83000000000004</v>
      </c>
      <c r="I13" s="84">
        <f t="shared" si="2"/>
        <v>1181.7460385635341</v>
      </c>
      <c r="J13" s="84">
        <f>(90.24774+0.217251+16.55696+0.343931)*2.204622</f>
        <v>236.70118550660402</v>
      </c>
      <c r="K13" s="84">
        <f t="shared" si="3"/>
        <v>2014.2772240701381</v>
      </c>
      <c r="L13" s="84">
        <f>1473.201+307.51</f>
        <v>1780.711</v>
      </c>
    </row>
    <row r="14" spans="1:13" ht="14.25" x14ac:dyDescent="0.2">
      <c r="A14" s="45" t="s">
        <v>60</v>
      </c>
      <c r="B14" s="84">
        <f t="shared" si="4"/>
        <v>1780.711</v>
      </c>
      <c r="C14" s="90">
        <v>1950.1759999999999</v>
      </c>
      <c r="D14" s="84">
        <f>(12.194023+0+9.312901+0.00046)*2.204622</f>
        <v>47.415651928848</v>
      </c>
      <c r="E14" s="84">
        <f t="shared" si="0"/>
        <v>3778.3026519288478</v>
      </c>
      <c r="F14" s="84"/>
      <c r="G14" s="84">
        <f t="shared" si="1"/>
        <v>1670.6219463191878</v>
      </c>
      <c r="H14" s="84">
        <v>610.47</v>
      </c>
      <c r="I14" s="84">
        <f t="shared" si="2"/>
        <v>1060.1519463191878</v>
      </c>
      <c r="J14" s="84">
        <f>(89.693028+0.363189+16.519097+0.205216)*2.204622</f>
        <v>235.41070560966</v>
      </c>
      <c r="K14" s="84">
        <f t="shared" si="3"/>
        <v>1906.0326519288478</v>
      </c>
      <c r="L14" s="84">
        <f>1505.351+366.919</f>
        <v>1872.27</v>
      </c>
    </row>
    <row r="15" spans="1:13" ht="14.25" x14ac:dyDescent="0.2">
      <c r="A15" s="45" t="s">
        <v>61</v>
      </c>
      <c r="B15" s="84">
        <f t="shared" si="4"/>
        <v>1872.27</v>
      </c>
      <c r="C15" s="90">
        <v>1982.893</v>
      </c>
      <c r="D15" s="84">
        <f>(0.466576+0+9.795834+0.02089)*2.204622</f>
        <v>22.670789412599998</v>
      </c>
      <c r="E15" s="84">
        <f t="shared" si="0"/>
        <v>3877.8337894125998</v>
      </c>
      <c r="F15" s="84"/>
      <c r="G15" s="84">
        <f t="shared" si="1"/>
        <v>1492.7819223601157</v>
      </c>
      <c r="H15" s="84">
        <v>390.11</v>
      </c>
      <c r="I15" s="84">
        <f t="shared" si="2"/>
        <v>1102.6719223601158</v>
      </c>
      <c r="J15" s="84">
        <f>(93.975464+0.129304+23.105929+0.430725)*2.204622</f>
        <v>259.354867052484</v>
      </c>
      <c r="K15" s="84">
        <f t="shared" si="3"/>
        <v>1752.1367894125997</v>
      </c>
      <c r="L15" s="84">
        <f>1731.033+394.664</f>
        <v>2125.6970000000001</v>
      </c>
    </row>
    <row r="16" spans="1:13" ht="14.25" x14ac:dyDescent="0.2">
      <c r="A16" s="45" t="s">
        <v>62</v>
      </c>
      <c r="B16" s="84">
        <f t="shared" si="4"/>
        <v>2125.6970000000001</v>
      </c>
      <c r="C16" s="90">
        <v>1757.03</v>
      </c>
      <c r="D16" s="84">
        <f>(1.041719+0+8.449661+0)*2.204622</f>
        <v>20.924905158360005</v>
      </c>
      <c r="E16" s="84">
        <f t="shared" si="0"/>
        <v>3903.65190515836</v>
      </c>
      <c r="F16" s="84"/>
      <c r="G16" s="84">
        <f t="shared" si="1"/>
        <v>1451.589437605194</v>
      </c>
      <c r="H16" s="84">
        <v>369.18</v>
      </c>
      <c r="I16" s="84">
        <f t="shared" si="2"/>
        <v>1082.4094376051939</v>
      </c>
      <c r="J16" s="84">
        <f>(89.650838+0.095622+18.256324+0.290369)*2.204622</f>
        <v>238.74546755316598</v>
      </c>
      <c r="K16" s="84">
        <f t="shared" si="3"/>
        <v>1690.33490515836</v>
      </c>
      <c r="L16" s="84">
        <f>1801.761+411.556</f>
        <v>2213.317</v>
      </c>
    </row>
    <row r="17" spans="1:12" ht="14.25" x14ac:dyDescent="0.2">
      <c r="A17" s="45" t="s">
        <v>63</v>
      </c>
      <c r="B17" s="84">
        <f t="shared" si="4"/>
        <v>2213.317</v>
      </c>
      <c r="C17" s="90">
        <v>1865.4659999999999</v>
      </c>
      <c r="D17" s="84">
        <f>(0.758203+0+11.47952+0)*2.204622</f>
        <v>26.979553355706003</v>
      </c>
      <c r="E17" s="84">
        <f t="shared" si="0"/>
        <v>4105.7625533557057</v>
      </c>
      <c r="F17" s="84"/>
      <c r="G17" s="84">
        <f t="shared" si="1"/>
        <v>1466.4654145410739</v>
      </c>
      <c r="H17" s="84">
        <v>369.46</v>
      </c>
      <c r="I17" s="84">
        <f t="shared" si="2"/>
        <v>1097.0054145410738</v>
      </c>
      <c r="J17" s="84">
        <f>(108.075711+0.337664+25.328653+0.276928)*2.204622</f>
        <v>295.46113881463202</v>
      </c>
      <c r="K17" s="84">
        <f t="shared" si="3"/>
        <v>1761.9265533557059</v>
      </c>
      <c r="L17" s="84">
        <f>1934.877+408.959</f>
        <v>2343.8359999999998</v>
      </c>
    </row>
    <row r="18" spans="1:12" ht="14.25" x14ac:dyDescent="0.2">
      <c r="A18" s="45" t="s">
        <v>64</v>
      </c>
      <c r="B18" s="84">
        <f t="shared" si="4"/>
        <v>2343.8359999999998</v>
      </c>
      <c r="C18" s="90">
        <v>1737.7750000000001</v>
      </c>
      <c r="D18" s="84">
        <f>(1.601179+0+13.024339+0.006804)*2.204622</f>
        <v>32.258738992284002</v>
      </c>
      <c r="E18" s="84">
        <f t="shared" si="0"/>
        <v>4113.8697389922836</v>
      </c>
      <c r="F18" s="84"/>
      <c r="G18" s="84">
        <f t="shared" si="1"/>
        <v>1616.4764288912756</v>
      </c>
      <c r="H18" s="84">
        <v>426.71</v>
      </c>
      <c r="I18" s="84">
        <f t="shared" si="2"/>
        <v>1189.7664288912756</v>
      </c>
      <c r="J18" s="84">
        <f>(89.464045+0.094891+27.020814+0.176914)*2.204622</f>
        <v>257.40431010100804</v>
      </c>
      <c r="K18" s="84">
        <f t="shared" si="3"/>
        <v>1873.8807389922836</v>
      </c>
      <c r="L18" s="84">
        <f>1848.364+391.625</f>
        <v>2239.989</v>
      </c>
    </row>
    <row r="19" spans="1:12" ht="14.25" x14ac:dyDescent="0.2">
      <c r="A19" s="45" t="s">
        <v>65</v>
      </c>
      <c r="B19" s="84">
        <f>L18</f>
        <v>2239.989</v>
      </c>
      <c r="C19" s="90">
        <v>1839.3420000000001</v>
      </c>
      <c r="D19" s="84">
        <f>(1.669208+0+12.616689+0)*2.204622</f>
        <v>31.495002815933997</v>
      </c>
      <c r="E19" s="84">
        <f t="shared" si="0"/>
        <v>4110.8260028159339</v>
      </c>
      <c r="F19" s="84"/>
      <c r="G19" s="84">
        <f t="shared" si="1"/>
        <v>1680.2483986462278</v>
      </c>
      <c r="H19" s="84">
        <v>545.51</v>
      </c>
      <c r="I19" s="84">
        <f t="shared" si="2"/>
        <v>1134.7383986462278</v>
      </c>
      <c r="J19" s="84">
        <f>(47.935414+0.165843+24.707034+0.366432)*2.204622</f>
        <v>161.32260416970601</v>
      </c>
      <c r="K19" s="84">
        <f t="shared" si="3"/>
        <v>1841.5710028159338</v>
      </c>
      <c r="L19" s="84">
        <f>1888.717+380.538</f>
        <v>2269.2550000000001</v>
      </c>
    </row>
    <row r="20" spans="1:12" ht="14.25" x14ac:dyDescent="0.2">
      <c r="A20" s="45" t="s">
        <v>66</v>
      </c>
      <c r="B20" s="84">
        <f>L19</f>
        <v>2269.2550000000001</v>
      </c>
      <c r="C20" s="90">
        <v>1735.6079999999999</v>
      </c>
      <c r="D20" s="84">
        <f>(0.591416+0+10.424846+0.00225)*2.204622</f>
        <v>24.291653962464004</v>
      </c>
      <c r="E20" s="84">
        <f t="shared" si="0"/>
        <v>4029.1546539624642</v>
      </c>
      <c r="F20" s="84"/>
      <c r="G20" s="84">
        <f t="shared" si="1"/>
        <v>1748.2885538861906</v>
      </c>
      <c r="H20" s="84">
        <v>548.84</v>
      </c>
      <c r="I20" s="84">
        <f t="shared" si="2"/>
        <v>1199.4485538861904</v>
      </c>
      <c r="J20" s="84">
        <f>(47.842155+0.32108+14.04586+0.381272)*2.204622</f>
        <v>137.98810007627401</v>
      </c>
      <c r="K20" s="84">
        <f t="shared" si="3"/>
        <v>1886.2766539624645</v>
      </c>
      <c r="L20" s="84">
        <f>1815.157+327.721</f>
        <v>2142.8779999999997</v>
      </c>
    </row>
    <row r="21" spans="1:12" ht="14.25" x14ac:dyDescent="0.2">
      <c r="A21" s="45" t="s">
        <v>68</v>
      </c>
      <c r="B21" s="84">
        <f>L20</f>
        <v>2142.8779999999997</v>
      </c>
      <c r="C21" s="90">
        <v>1801.376</v>
      </c>
      <c r="D21" s="84">
        <f>(0.528216+0+9.657898+0)*2.204622</f>
        <v>22.456531018908002</v>
      </c>
      <c r="E21" s="84">
        <f t="shared" si="0"/>
        <v>3966.7105310189081</v>
      </c>
      <c r="F21" s="84"/>
      <c r="G21" s="84">
        <f t="shared" si="1"/>
        <v>1767.3662903755221</v>
      </c>
      <c r="H21" s="84">
        <v>606.15</v>
      </c>
      <c r="I21" s="84">
        <f t="shared" si="2"/>
        <v>1161.216290375522</v>
      </c>
      <c r="J21" s="84">
        <f>(65.02301+0.148382+24.814047+0.209724)*2.204622</f>
        <v>198.84624064338598</v>
      </c>
      <c r="K21" s="84">
        <f t="shared" si="3"/>
        <v>1966.2125310189081</v>
      </c>
      <c r="L21" s="84">
        <f>1627.909+372.589</f>
        <v>2000.498</v>
      </c>
    </row>
    <row r="22" spans="1:12" ht="14.25" x14ac:dyDescent="0.2">
      <c r="A22" s="45" t="s">
        <v>69</v>
      </c>
      <c r="B22" s="84">
        <f>L21</f>
        <v>2000.498</v>
      </c>
      <c r="C22" s="90">
        <v>1762.2070000000001</v>
      </c>
      <c r="D22" s="84">
        <f>(0.495803+0+8.286889+0)*2.204622</f>
        <v>19.362516002424002</v>
      </c>
      <c r="E22" s="84">
        <f t="shared" si="0"/>
        <v>3782.0675160024239</v>
      </c>
      <c r="F22" s="84"/>
      <c r="G22" s="84">
        <f t="shared" si="1"/>
        <v>1808.5155428586179</v>
      </c>
      <c r="H22" s="84">
        <v>608.16999999999996</v>
      </c>
      <c r="I22" s="84">
        <f t="shared" si="2"/>
        <v>1200.345542858618</v>
      </c>
      <c r="J22" s="84">
        <f>(58.152578+0.182461+15.446844+0.24939)*2.204622</f>
        <v>163.21097314380603</v>
      </c>
      <c r="K22" s="84">
        <f t="shared" si="3"/>
        <v>1971.726516002424</v>
      </c>
      <c r="L22" s="84">
        <f>1483.031+327.31</f>
        <v>1810.3409999999999</v>
      </c>
    </row>
    <row r="23" spans="1:12" ht="14.25" x14ac:dyDescent="0.2">
      <c r="A23" s="45" t="s">
        <v>71</v>
      </c>
      <c r="B23" s="84">
        <f>L22</f>
        <v>1810.3409999999999</v>
      </c>
      <c r="C23" s="90">
        <v>1701.7619999999999</v>
      </c>
      <c r="D23" s="84">
        <f>(0.556101+0+7.608838+0.00048)*2.204622</f>
        <v>18.001662366618</v>
      </c>
      <c r="E23" s="84">
        <f t="shared" si="0"/>
        <v>3530.104662366618</v>
      </c>
      <c r="F23" s="84"/>
      <c r="G23" s="84">
        <f t="shared" si="1"/>
        <v>1688.9161120424881</v>
      </c>
      <c r="H23" s="84">
        <v>603.91</v>
      </c>
      <c r="I23" s="84">
        <f t="shared" si="2"/>
        <v>1085.006112042488</v>
      </c>
      <c r="J23" s="84">
        <f>(41.914049+0.162186+16.816761+0.180419)*2.204622</f>
        <v>130.23455032413</v>
      </c>
      <c r="K23" s="84">
        <f t="shared" si="3"/>
        <v>1819.150662366618</v>
      </c>
      <c r="L23" s="84">
        <f>1400.918+310.036</f>
        <v>1710.954</v>
      </c>
    </row>
    <row r="24" spans="1:12" ht="14.25" x14ac:dyDescent="0.2">
      <c r="A24" s="45" t="s">
        <v>38</v>
      </c>
      <c r="B24" s="84"/>
      <c r="C24" s="63">
        <f>SUM(C12:C23)</f>
        <v>22123.409</v>
      </c>
      <c r="D24" s="84">
        <f>SUM(D12:D23)</f>
        <v>318.70876757353199</v>
      </c>
      <c r="E24" s="84">
        <f>B12+C24+D24</f>
        <v>24128.930767573533</v>
      </c>
      <c r="F24" s="84"/>
      <c r="G24" s="84">
        <f>SUM(G12:G23)</f>
        <v>19862.314534937177</v>
      </c>
      <c r="H24" s="84">
        <f>SUM(H12:H23)</f>
        <v>6200.2999999999993</v>
      </c>
      <c r="I24" s="84">
        <f>SUM(I12:I23)</f>
        <v>13662.014534937178</v>
      </c>
      <c r="J24" s="84">
        <f>SUM(J12:J23)</f>
        <v>2555.6622326363517</v>
      </c>
      <c r="K24" s="63">
        <f>SUM(K12:K23)</f>
        <v>22417.976767573531</v>
      </c>
      <c r="L24" s="84"/>
    </row>
    <row r="25" spans="1:12" ht="14.25" x14ac:dyDescent="0.2">
      <c r="A25" s="45"/>
      <c r="B25" s="84"/>
      <c r="C25" s="90"/>
      <c r="D25" s="84"/>
      <c r="E25" s="84"/>
      <c r="F25" s="84"/>
      <c r="G25" s="84"/>
      <c r="H25" s="84"/>
      <c r="I25" s="84"/>
      <c r="J25" s="84"/>
      <c r="K25" s="84"/>
      <c r="L25" s="84"/>
    </row>
    <row r="26" spans="1:12" ht="14.25" x14ac:dyDescent="0.2">
      <c r="A26" s="42" t="s">
        <v>121</v>
      </c>
      <c r="B26" s="83"/>
      <c r="C26" s="63"/>
      <c r="D26" s="63"/>
      <c r="E26" s="63"/>
      <c r="F26" s="84"/>
      <c r="G26" s="63"/>
      <c r="H26" s="63"/>
      <c r="I26" s="63"/>
      <c r="J26" s="63"/>
      <c r="K26" s="63"/>
      <c r="L26" s="84"/>
    </row>
    <row r="27" spans="1:12" ht="14.25" x14ac:dyDescent="0.2">
      <c r="A27" s="45" t="s">
        <v>58</v>
      </c>
      <c r="B27" s="84">
        <f>L23</f>
        <v>1710.954</v>
      </c>
      <c r="C27" s="90">
        <v>2016.8879999999999</v>
      </c>
      <c r="D27" s="84">
        <f>(0.663115+0+13.936652+0)*2.204622</f>
        <v>32.186967523074003</v>
      </c>
      <c r="E27" s="84">
        <f t="shared" ref="E27:E33" si="5">SUM(B27:D27)</f>
        <v>3760.0289675230738</v>
      </c>
      <c r="F27" s="84"/>
      <c r="G27" s="84">
        <f t="shared" ref="G27:G33" si="6">K27-J27</f>
        <v>1921.1646905235377</v>
      </c>
      <c r="H27" s="84">
        <v>577.42999999999995</v>
      </c>
      <c r="I27" s="84">
        <f t="shared" ref="I27:I37" si="7">G27-H27</f>
        <v>1343.7346905235377</v>
      </c>
      <c r="J27" s="84">
        <f>(80.225792+0.085525+15.875468+0.265703)*2.204622</f>
        <v>212.64127699953602</v>
      </c>
      <c r="K27" s="84">
        <f t="shared" ref="K27:K33" si="8">E27-L27</f>
        <v>2133.8059675230738</v>
      </c>
      <c r="L27" s="84">
        <f>1300.36+325.863</f>
        <v>1626.223</v>
      </c>
    </row>
    <row r="28" spans="1:12" ht="14.25" x14ac:dyDescent="0.2">
      <c r="A28" s="45" t="s">
        <v>59</v>
      </c>
      <c r="B28" s="84">
        <f t="shared" ref="B28:B33" si="9">L27</f>
        <v>1626.223</v>
      </c>
      <c r="C28" s="63">
        <v>1977.0050000000001</v>
      </c>
      <c r="D28" s="84">
        <f>(0.66927+0+9.3206+0.0008)*2.204622</f>
        <v>22.025650876739999</v>
      </c>
      <c r="E28" s="84">
        <f t="shared" si="5"/>
        <v>3625.2536508767403</v>
      </c>
      <c r="F28" s="84"/>
      <c r="G28" s="84">
        <f t="shared" si="6"/>
        <v>1802.5259723672164</v>
      </c>
      <c r="H28" s="84">
        <v>590.79999999999995</v>
      </c>
      <c r="I28" s="84">
        <f t="shared" si="7"/>
        <v>1211.7259723672164</v>
      </c>
      <c r="J28" s="84">
        <f>(41.937459+0.208519+17.592609+0.202155)*2.204622</f>
        <v>132.14667850952398</v>
      </c>
      <c r="K28" s="84">
        <f t="shared" si="8"/>
        <v>1934.6726508767404</v>
      </c>
      <c r="L28" s="84">
        <f>1379.223+311.358</f>
        <v>1690.5809999999999</v>
      </c>
    </row>
    <row r="29" spans="1:12" ht="14.25" x14ac:dyDescent="0.2">
      <c r="A29" s="45" t="s">
        <v>60</v>
      </c>
      <c r="B29" s="84">
        <f t="shared" si="9"/>
        <v>1690.5809999999999</v>
      </c>
      <c r="C29" s="63">
        <v>2015.2560000000001</v>
      </c>
      <c r="D29" s="84">
        <f>(0.611691+0+13.538281+0.0008)*2.204622</f>
        <v>31.197103268184001</v>
      </c>
      <c r="E29" s="84">
        <f t="shared" si="5"/>
        <v>3737.034103268184</v>
      </c>
      <c r="F29" s="84"/>
      <c r="G29" s="84">
        <f t="shared" si="6"/>
        <v>1613.4431539013021</v>
      </c>
      <c r="H29" s="84">
        <v>593.99</v>
      </c>
      <c r="I29" s="84">
        <f t="shared" si="7"/>
        <v>1019.4531539013021</v>
      </c>
      <c r="J29" s="84">
        <f>(60.89152+0.230156+17.166633+0.145522)*2.204622</f>
        <v>172.91694936688199</v>
      </c>
      <c r="K29" s="84">
        <f t="shared" si="8"/>
        <v>1786.360103268184</v>
      </c>
      <c r="L29" s="84">
        <f>1583.544+367.13</f>
        <v>1950.674</v>
      </c>
    </row>
    <row r="30" spans="1:12" ht="14.25" x14ac:dyDescent="0.2">
      <c r="A30" s="45" t="s">
        <v>61</v>
      </c>
      <c r="B30" s="84">
        <f t="shared" si="9"/>
        <v>1950.674</v>
      </c>
      <c r="C30" s="63">
        <v>1995.5889999999999</v>
      </c>
      <c r="D30" s="84">
        <f>(0.671011+0.001728+9.360229+0)*2.204622</f>
        <v>22.118901978096002</v>
      </c>
      <c r="E30" s="84">
        <f t="shared" si="5"/>
        <v>3968.3819019780958</v>
      </c>
      <c r="F30" s="84"/>
      <c r="G30" s="84">
        <f t="shared" si="6"/>
        <v>1547.9299381743697</v>
      </c>
      <c r="H30" s="84">
        <v>462.12</v>
      </c>
      <c r="I30" s="84">
        <f t="shared" si="7"/>
        <v>1085.8099381743696</v>
      </c>
      <c r="J30" s="84">
        <f>(67.939406+0.153133+13.644+0.213094)*2.204622</f>
        <v>180.66796380372602</v>
      </c>
      <c r="K30" s="84">
        <f t="shared" si="8"/>
        <v>1728.5979019780957</v>
      </c>
      <c r="L30" s="84">
        <f>1886.728+353.056</f>
        <v>2239.7840000000001</v>
      </c>
    </row>
    <row r="31" spans="1:12" ht="14.25" x14ac:dyDescent="0.2">
      <c r="A31" s="45" t="s">
        <v>62</v>
      </c>
      <c r="B31" s="84">
        <f t="shared" si="9"/>
        <v>2239.7840000000001</v>
      </c>
      <c r="C31" s="63">
        <v>1889.8409999999999</v>
      </c>
      <c r="D31" s="84">
        <f>(10.974745+0+7.681166+0.0008)*2.204622</f>
        <v>41.130995518242003</v>
      </c>
      <c r="E31" s="84">
        <f t="shared" si="5"/>
        <v>4170.7559955182423</v>
      </c>
      <c r="F31" s="84"/>
      <c r="G31" s="84">
        <f t="shared" si="6"/>
        <v>1564.2792080768288</v>
      </c>
      <c r="H31" s="84">
        <v>495.59</v>
      </c>
      <c r="I31" s="84">
        <f t="shared" si="7"/>
        <v>1068.6892080768289</v>
      </c>
      <c r="J31" s="84">
        <f>(68.827952+0.142344+12.955662+0.217279)*2.204622</f>
        <v>181.09478744141401</v>
      </c>
      <c r="K31" s="84">
        <f t="shared" si="8"/>
        <v>1745.3739955182427</v>
      </c>
      <c r="L31" s="84">
        <f>2049.644+375.738</f>
        <v>2425.3819999999996</v>
      </c>
    </row>
    <row r="32" spans="1:12" ht="14.25" x14ac:dyDescent="0.2">
      <c r="A32" s="45" t="s">
        <v>63</v>
      </c>
      <c r="B32" s="84">
        <f t="shared" si="9"/>
        <v>2425.3819999999996</v>
      </c>
      <c r="C32" s="63">
        <v>2079.123</v>
      </c>
      <c r="D32" s="84">
        <f>(1.613442+0+7.947498+0.0008)*2.204622</f>
        <v>21.080022362280001</v>
      </c>
      <c r="E32" s="84">
        <f t="shared" si="5"/>
        <v>4525.5850223622792</v>
      </c>
      <c r="F32" s="84"/>
      <c r="G32" s="84">
        <f t="shared" si="6"/>
        <v>1879.5722664204213</v>
      </c>
      <c r="H32" s="84">
        <v>624.15</v>
      </c>
      <c r="I32" s="84">
        <f t="shared" si="7"/>
        <v>1255.4222664204212</v>
      </c>
      <c r="J32" s="84">
        <f>(62.563038+0.255788+28.340078+0.253935)*2.204622</f>
        <v>201.53075594185802</v>
      </c>
      <c r="K32" s="84">
        <f t="shared" si="8"/>
        <v>2081.1030223622793</v>
      </c>
      <c r="L32" s="84">
        <f>2080.138+364.344</f>
        <v>2444.482</v>
      </c>
    </row>
    <row r="33" spans="1:12" ht="14.25" x14ac:dyDescent="0.2">
      <c r="A33" s="45" t="s">
        <v>64</v>
      </c>
      <c r="B33" s="84">
        <f t="shared" si="9"/>
        <v>2444.482</v>
      </c>
      <c r="C33" s="63">
        <v>1964.922</v>
      </c>
      <c r="D33" s="84">
        <f>(0.567115+0.103249+12.3464+0)*2.204622</f>
        <v>28.697044283207997</v>
      </c>
      <c r="E33" s="84">
        <f t="shared" si="5"/>
        <v>4438.1010442832085</v>
      </c>
      <c r="F33" s="84"/>
      <c r="G33" s="84">
        <f t="shared" si="6"/>
        <v>1537.0046059233325</v>
      </c>
      <c r="H33" s="84">
        <v>519.55999999999995</v>
      </c>
      <c r="I33" s="84">
        <f t="shared" si="7"/>
        <v>1017.4446059233326</v>
      </c>
      <c r="J33" s="84">
        <f>(74.547873+0.133339+21.342471+0.283275)*2.204622</f>
        <v>212.32043835987602</v>
      </c>
      <c r="K33" s="84">
        <f t="shared" si="8"/>
        <v>1749.3250442832086</v>
      </c>
      <c r="L33" s="84">
        <f>2316.192+372.584</f>
        <v>2688.7759999999998</v>
      </c>
    </row>
    <row r="34" spans="1:12" ht="14.25" x14ac:dyDescent="0.2">
      <c r="A34" s="45" t="s">
        <v>65</v>
      </c>
      <c r="B34" s="84">
        <f>L33</f>
        <v>2688.7759999999998</v>
      </c>
      <c r="C34" s="63">
        <v>1966.511</v>
      </c>
      <c r="D34" s="84">
        <f>(0.754842+0+14.709869+0.00128)*2.204622</f>
        <v>34.096664010402002</v>
      </c>
      <c r="E34" s="84">
        <f>SUM(B34:D34)</f>
        <v>4689.3836640104018</v>
      </c>
      <c r="F34" s="84"/>
      <c r="G34" s="84">
        <f>K34-J34</f>
        <v>1883.9005750484957</v>
      </c>
      <c r="H34" s="84">
        <v>581.33000000000004</v>
      </c>
      <c r="I34" s="84">
        <f t="shared" si="7"/>
        <v>1302.5705750484958</v>
      </c>
      <c r="J34" s="84">
        <f>(171.049084+0.572188+23.792737+0.275814)*2.204622</f>
        <v>431.42208896190601</v>
      </c>
      <c r="K34" s="84">
        <f>E34-L34</f>
        <v>2315.3226640104017</v>
      </c>
      <c r="L34" s="84">
        <f>2002.934+371.127</f>
        <v>2374.0610000000001</v>
      </c>
    </row>
    <row r="35" spans="1:12" ht="14.25" x14ac:dyDescent="0.2">
      <c r="A35" s="45" t="s">
        <v>66</v>
      </c>
      <c r="B35" s="84">
        <f>L34</f>
        <v>2374.0610000000001</v>
      </c>
      <c r="C35" s="63">
        <v>1936.9069999999999</v>
      </c>
      <c r="D35" s="84">
        <f>(2.305083+0+12.102798+0.0008)*2.204622</f>
        <v>31.765695123581999</v>
      </c>
      <c r="E35" s="84">
        <f>SUM(B35:D35)</f>
        <v>4342.733695123582</v>
      </c>
      <c r="F35" s="84"/>
      <c r="G35" s="84">
        <f>K35-J35</f>
        <v>1809.597328870434</v>
      </c>
      <c r="H35" s="84">
        <v>623.61</v>
      </c>
      <c r="I35" s="84">
        <f t="shared" si="7"/>
        <v>1185.9873288704339</v>
      </c>
      <c r="J35" s="84">
        <f>(86.703348+0.094936+16.432424+0.337326)*2.204622</f>
        <v>228.32836625314803</v>
      </c>
      <c r="K35" s="84">
        <f>E35-L35</f>
        <v>2037.925695123582</v>
      </c>
      <c r="L35" s="84">
        <f>1933.152+371.656</f>
        <v>2304.808</v>
      </c>
    </row>
    <row r="36" spans="1:12" ht="14.25" x14ac:dyDescent="0.2">
      <c r="A36" s="45" t="s">
        <v>68</v>
      </c>
      <c r="B36" s="84">
        <f>L35</f>
        <v>2304.808</v>
      </c>
      <c r="C36" s="63">
        <v>2043.3230000000001</v>
      </c>
      <c r="D36" s="84">
        <f>(2.90045+0+11.937917+0.0018)*2.204622</f>
        <v>32.716958651874002</v>
      </c>
      <c r="E36" s="84">
        <f>SUM(B36:D36)</f>
        <v>4380.8479586518743</v>
      </c>
      <c r="F36" s="84"/>
      <c r="G36" s="84">
        <f>K36-J36</f>
        <v>1822.4687116086945</v>
      </c>
      <c r="H36" s="84">
        <v>671.27</v>
      </c>
      <c r="I36" s="84">
        <f t="shared" si="7"/>
        <v>1151.1987116086946</v>
      </c>
      <c r="J36" s="84">
        <f>(61.380449+0.164409+17.366248+0.346584)*2.204622</f>
        <v>174.73324704318</v>
      </c>
      <c r="K36" s="84">
        <f>E36-L36</f>
        <v>1997.2019586518745</v>
      </c>
      <c r="L36" s="84">
        <f>1983.666+399.98</f>
        <v>2383.6459999999997</v>
      </c>
    </row>
    <row r="37" spans="1:12" ht="14.25" x14ac:dyDescent="0.2">
      <c r="A37" s="45" t="s">
        <v>69</v>
      </c>
      <c r="B37" s="84">
        <f>L36</f>
        <v>2383.6459999999997</v>
      </c>
      <c r="C37" s="63">
        <v>1944.9659999999999</v>
      </c>
      <c r="D37" s="84">
        <f>(1.713977+0+9.048481+0.0008)*2.204622</f>
        <v>23.728915378476003</v>
      </c>
      <c r="E37" s="84">
        <f>SUM(B37:D37)</f>
        <v>4352.3409153784751</v>
      </c>
      <c r="F37" s="84"/>
      <c r="G37" s="84">
        <f>K37-J37</f>
        <v>1939.9040015978251</v>
      </c>
      <c r="H37" s="84">
        <v>705.13</v>
      </c>
      <c r="I37" s="84">
        <f t="shared" si="7"/>
        <v>1234.7740015978252</v>
      </c>
      <c r="J37" s="84">
        <f>(73.253711+0.073925+16.111003+0.208436)*2.204622</f>
        <v>197.63791378065</v>
      </c>
      <c r="K37" s="84">
        <f>E37-L37</f>
        <v>2137.5419153784751</v>
      </c>
      <c r="L37" s="84">
        <f>1843.912+370.887</f>
        <v>2214.799</v>
      </c>
    </row>
    <row r="38" spans="1:12" ht="14.25" x14ac:dyDescent="0.2">
      <c r="A38" s="45" t="s">
        <v>71</v>
      </c>
      <c r="B38" s="84">
        <f>L37</f>
        <v>2214.799</v>
      </c>
      <c r="C38" s="63">
        <v>1936.873</v>
      </c>
      <c r="D38" s="84">
        <f>(2.178466+0.0007+4.471838+0.008)*2.204622</f>
        <v>14.680586716488001</v>
      </c>
      <c r="E38" s="84">
        <f>SUM(B38:D38)</f>
        <v>4166.3525867164881</v>
      </c>
      <c r="F38" s="84"/>
      <c r="G38" s="84">
        <f>K38-J38</f>
        <v>2054.6427137737519</v>
      </c>
      <c r="H38" s="84" t="s">
        <v>10</v>
      </c>
      <c r="I38" s="84" t="s">
        <v>10</v>
      </c>
      <c r="J38" s="84">
        <f>(41.653346+0.082871+13.184233+0.267638)*2.204622</f>
        <v>121.66887294273599</v>
      </c>
      <c r="K38" s="84">
        <f>E38-L38</f>
        <v>2176.3115867164879</v>
      </c>
      <c r="L38" s="84">
        <f>1642.954+347.087</f>
        <v>1990.0409999999999</v>
      </c>
    </row>
    <row r="39" spans="1:12" ht="14.25" x14ac:dyDescent="0.2">
      <c r="A39" s="41" t="s">
        <v>3</v>
      </c>
      <c r="B39" s="91"/>
      <c r="C39" s="72">
        <f>SUM(C27:C38)</f>
        <v>23767.204000000002</v>
      </c>
      <c r="D39" s="72">
        <f>SUM(D27:D38)</f>
        <v>335.42550569064605</v>
      </c>
      <c r="E39" s="72">
        <f>B27+C39+D39</f>
        <v>25813.583505690651</v>
      </c>
      <c r="F39" s="91"/>
      <c r="G39" s="72">
        <f>SUM(G27:G38)</f>
        <v>21376.43316628621</v>
      </c>
      <c r="H39" s="72">
        <f>SUM(H27:H38)</f>
        <v>6444.9800000000005</v>
      </c>
      <c r="I39" s="72">
        <f>SUM(I27:I38)</f>
        <v>12876.810452512458</v>
      </c>
      <c r="J39" s="72">
        <f>SUM(J27:J38)</f>
        <v>2447.109339404436</v>
      </c>
      <c r="K39" s="72">
        <f>SUM(K27:K38)</f>
        <v>23823.542505690646</v>
      </c>
      <c r="L39" s="91"/>
    </row>
    <row r="40" spans="1:12" ht="16.5" x14ac:dyDescent="0.2">
      <c r="A40" s="88" t="s">
        <v>132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 ht="14.25" x14ac:dyDescent="0.2">
      <c r="A41" s="42" t="s">
        <v>131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2" ht="14.25" x14ac:dyDescent="0.2">
      <c r="A42" s="42" t="s">
        <v>26</v>
      </c>
      <c r="B42" s="80">
        <f ca="1">NOW()</f>
        <v>43417.408640856484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</row>
  </sheetData>
  <mergeCells count="3">
    <mergeCell ref="B5:L5"/>
    <mergeCell ref="G2:I2"/>
    <mergeCell ref="B2:E2"/>
  </mergeCells>
  <phoneticPr fontId="3" type="noConversion"/>
  <pageMargins left="0.75" right="0.75" top="1" bottom="1" header="0.5" footer="0.5"/>
  <pageSetup scale="67" orientation="portrait" r:id="rId1"/>
  <headerFooter alignWithMargins="0"/>
  <ignoredErrors>
    <ignoredError sqref="I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56"/>
  <sheetViews>
    <sheetView showGridLines="0" zoomScaleNormal="100" workbookViewId="0"/>
  </sheetViews>
  <sheetFormatPr defaultRowHeight="12.75" x14ac:dyDescent="0.2"/>
  <cols>
    <col min="1" max="1" width="14.7109375" customWidth="1"/>
    <col min="2" max="2" width="11.5703125" customWidth="1"/>
    <col min="3" max="3" width="10.7109375" customWidth="1"/>
    <col min="4" max="4" width="11.7109375" customWidth="1"/>
    <col min="5" max="5" width="10.7109375" customWidth="1"/>
    <col min="6" max="6" width="10.5703125" customWidth="1"/>
    <col min="7" max="7" width="11.7109375" customWidth="1"/>
    <col min="8" max="8" width="8.7109375" customWidth="1"/>
    <col min="9" max="9" width="9.7109375" customWidth="1"/>
    <col min="10" max="11" width="7.7109375" customWidth="1"/>
    <col min="12" max="12" width="8.5703125" customWidth="1"/>
    <col min="13" max="13" width="9.5703125" customWidth="1"/>
    <col min="14" max="15" width="7.5703125" customWidth="1"/>
  </cols>
  <sheetData>
    <row r="1" spans="1:15" ht="14.25" x14ac:dyDescent="0.2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  <c r="M1" s="42"/>
      <c r="N1" s="42"/>
      <c r="O1" s="42"/>
    </row>
    <row r="2" spans="1:15" ht="14.25" x14ac:dyDescent="0.2">
      <c r="A2" s="42"/>
      <c r="B2" s="156" t="s">
        <v>0</v>
      </c>
      <c r="C2" s="156"/>
      <c r="D2" s="156"/>
      <c r="E2" s="156"/>
      <c r="F2" s="92"/>
      <c r="G2" s="156" t="s">
        <v>24</v>
      </c>
      <c r="H2" s="156"/>
      <c r="I2" s="156"/>
      <c r="J2" s="156"/>
      <c r="K2" s="92"/>
      <c r="L2" s="42"/>
      <c r="M2" s="42"/>
      <c r="N2" s="42"/>
      <c r="O2" s="42"/>
    </row>
    <row r="3" spans="1:15" ht="14.25" x14ac:dyDescent="0.2">
      <c r="A3" s="42" t="s">
        <v>84</v>
      </c>
      <c r="B3" s="46" t="s">
        <v>36</v>
      </c>
      <c r="C3" s="46"/>
      <c r="D3" s="46"/>
      <c r="E3" s="46"/>
      <c r="F3" s="93"/>
      <c r="G3" s="46"/>
      <c r="H3" s="46"/>
      <c r="I3" s="46"/>
      <c r="J3" s="46"/>
      <c r="K3" s="44" t="s">
        <v>34</v>
      </c>
      <c r="L3" s="42"/>
      <c r="M3" s="42"/>
      <c r="N3" s="42"/>
      <c r="O3" s="42"/>
    </row>
    <row r="4" spans="1:15" ht="14.25" x14ac:dyDescent="0.2">
      <c r="A4" s="47" t="s">
        <v>86</v>
      </c>
      <c r="B4" s="49" t="s">
        <v>54</v>
      </c>
      <c r="C4" s="94" t="s">
        <v>1</v>
      </c>
      <c r="D4" s="51" t="s">
        <v>37</v>
      </c>
      <c r="E4" s="49" t="s">
        <v>96</v>
      </c>
      <c r="F4" s="50"/>
      <c r="G4" s="49" t="s">
        <v>40</v>
      </c>
      <c r="H4" s="49" t="s">
        <v>4</v>
      </c>
      <c r="I4" s="49" t="s">
        <v>41</v>
      </c>
      <c r="J4" s="49" t="s">
        <v>38</v>
      </c>
      <c r="K4" s="49" t="s">
        <v>33</v>
      </c>
      <c r="L4" s="42"/>
      <c r="M4" s="42"/>
      <c r="N4" s="42"/>
      <c r="O4" s="42"/>
    </row>
    <row r="5" spans="1:15" ht="14.25" x14ac:dyDescent="0.2">
      <c r="A5" s="42"/>
      <c r="B5" s="155" t="s">
        <v>18</v>
      </c>
      <c r="C5" s="155"/>
      <c r="D5" s="155"/>
      <c r="E5" s="155"/>
      <c r="F5" s="155"/>
      <c r="G5" s="155"/>
      <c r="H5" s="155"/>
      <c r="I5" s="155"/>
      <c r="J5" s="155"/>
      <c r="K5" s="155"/>
      <c r="L5" s="42"/>
      <c r="M5" s="42"/>
      <c r="N5" s="42"/>
      <c r="O5" s="42"/>
    </row>
    <row r="6" spans="1:15" ht="14.25" x14ac:dyDescent="0.2">
      <c r="A6" s="42"/>
      <c r="B6" s="42"/>
      <c r="C6" s="42"/>
      <c r="D6" s="42"/>
      <c r="E6" s="42"/>
      <c r="F6" s="42"/>
      <c r="G6" s="89"/>
      <c r="H6" s="95"/>
      <c r="I6" s="89"/>
      <c r="J6" s="89"/>
      <c r="K6" s="42"/>
      <c r="L6" s="42"/>
      <c r="M6" s="42"/>
      <c r="N6" s="42"/>
      <c r="O6" s="42"/>
    </row>
    <row r="7" spans="1:15" ht="16.5" x14ac:dyDescent="0.2">
      <c r="A7" s="42" t="s">
        <v>126</v>
      </c>
      <c r="B7" s="96">
        <v>391</v>
      </c>
      <c r="C7" s="96">
        <v>5369</v>
      </c>
      <c r="D7" s="97">
        <v>51.079000000000001</v>
      </c>
      <c r="E7" s="96">
        <f>+B7+C7+D7</f>
        <v>5811.0789999999997</v>
      </c>
      <c r="F7" s="57"/>
      <c r="G7" s="96">
        <v>1769.4399999999998</v>
      </c>
      <c r="H7" s="98">
        <v>341.65499999999997</v>
      </c>
      <c r="I7" s="96">
        <f>J7-G7-H7</f>
        <v>3299.9840000000004</v>
      </c>
      <c r="J7" s="96">
        <f>E7-K7</f>
        <v>5411.0789999999997</v>
      </c>
      <c r="K7" s="96">
        <v>400</v>
      </c>
      <c r="L7" s="42"/>
      <c r="M7" s="42"/>
      <c r="N7" s="42"/>
      <c r="O7" s="42"/>
    </row>
    <row r="8" spans="1:15" ht="16.5" x14ac:dyDescent="0.2">
      <c r="A8" s="42" t="s">
        <v>127</v>
      </c>
      <c r="B8" s="96">
        <f>+K7</f>
        <v>400</v>
      </c>
      <c r="C8" s="96">
        <v>6422</v>
      </c>
      <c r="D8" s="97">
        <v>0</v>
      </c>
      <c r="E8" s="96">
        <f>+B8+C8+D8</f>
        <v>6822</v>
      </c>
      <c r="F8" s="57"/>
      <c r="G8" s="96">
        <v>1853.576</v>
      </c>
      <c r="H8" s="98">
        <v>478.38499999999999</v>
      </c>
      <c r="I8" s="96">
        <f>J8-G8-H8</f>
        <v>4040.0389999999998</v>
      </c>
      <c r="J8" s="96">
        <f>E8-K8</f>
        <v>6372</v>
      </c>
      <c r="K8" s="96">
        <v>450</v>
      </c>
      <c r="L8" s="42"/>
      <c r="M8" s="42"/>
      <c r="N8" s="42"/>
      <c r="O8" s="42"/>
    </row>
    <row r="9" spans="1:15" ht="16.5" x14ac:dyDescent="0.2">
      <c r="A9" s="41" t="s">
        <v>168</v>
      </c>
      <c r="B9" s="99">
        <f>+K8</f>
        <v>450</v>
      </c>
      <c r="C9" s="99">
        <v>5799</v>
      </c>
      <c r="D9" s="100">
        <v>0</v>
      </c>
      <c r="E9" s="99">
        <f>+B9+C9+D9</f>
        <v>6249</v>
      </c>
      <c r="F9" s="101"/>
      <c r="G9" s="99">
        <v>1800</v>
      </c>
      <c r="H9" s="102">
        <v>425</v>
      </c>
      <c r="I9" s="99">
        <f>J9-G9-H9</f>
        <v>3624</v>
      </c>
      <c r="J9" s="99">
        <f>E9-K9</f>
        <v>5849</v>
      </c>
      <c r="K9" s="99">
        <v>400</v>
      </c>
      <c r="L9" s="42"/>
      <c r="M9" s="42"/>
      <c r="N9" s="42"/>
      <c r="O9" s="42"/>
    </row>
    <row r="10" spans="1:15" ht="16.5" x14ac:dyDescent="0.2">
      <c r="A10" s="88" t="s">
        <v>133</v>
      </c>
      <c r="B10" s="42"/>
      <c r="C10" s="57"/>
      <c r="D10" s="57"/>
      <c r="E10" s="57"/>
      <c r="F10" s="57"/>
      <c r="G10" s="57"/>
      <c r="H10" s="57"/>
      <c r="I10" s="57"/>
      <c r="J10" s="57"/>
      <c r="K10" s="42"/>
      <c r="L10" s="42"/>
      <c r="M10" s="42"/>
      <c r="N10" s="42"/>
      <c r="O10" s="42"/>
    </row>
    <row r="11" spans="1:15" ht="14.25" x14ac:dyDescent="0.2">
      <c r="A11" s="42" t="s">
        <v>134</v>
      </c>
      <c r="B11" s="58"/>
      <c r="C11" s="62"/>
      <c r="D11" s="42"/>
      <c r="E11" s="58"/>
      <c r="F11" s="58"/>
      <c r="G11" s="58"/>
      <c r="H11" s="58"/>
      <c r="I11" s="58"/>
      <c r="J11" s="58"/>
      <c r="K11" s="42"/>
      <c r="L11" s="42"/>
      <c r="M11" s="42"/>
      <c r="N11" s="42"/>
      <c r="O11" s="42"/>
    </row>
    <row r="12" spans="1:15" ht="14.25" x14ac:dyDescent="0.2">
      <c r="A12" s="42" t="s">
        <v>135</v>
      </c>
      <c r="B12" s="58"/>
      <c r="C12" s="62"/>
      <c r="D12" s="42"/>
      <c r="E12" s="58"/>
      <c r="F12" s="58"/>
      <c r="G12" s="58"/>
      <c r="H12" s="58"/>
      <c r="I12" s="58"/>
      <c r="J12" s="58"/>
      <c r="K12" s="42"/>
      <c r="L12" s="42"/>
      <c r="M12" s="42"/>
      <c r="N12" s="42"/>
      <c r="O12" s="42"/>
    </row>
    <row r="13" spans="1:15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5" ht="14.25" x14ac:dyDescent="0.2">
      <c r="A14" s="41" t="s">
        <v>12</v>
      </c>
      <c r="B14" s="41"/>
      <c r="C14" s="41"/>
      <c r="D14" s="41"/>
      <c r="E14" s="41"/>
      <c r="F14" s="41"/>
      <c r="G14" s="41"/>
      <c r="H14" s="41"/>
      <c r="I14" s="42"/>
      <c r="J14" s="41"/>
      <c r="K14" s="42"/>
      <c r="L14" s="42"/>
      <c r="M14" s="42"/>
      <c r="N14" s="42"/>
      <c r="O14" s="42"/>
    </row>
    <row r="15" spans="1:15" ht="14.25" x14ac:dyDescent="0.2">
      <c r="A15" s="42"/>
      <c r="B15" s="156" t="s">
        <v>0</v>
      </c>
      <c r="C15" s="156"/>
      <c r="D15" s="156"/>
      <c r="E15" s="156"/>
      <c r="F15" s="42"/>
      <c r="G15" s="156" t="s">
        <v>24</v>
      </c>
      <c r="H15" s="156"/>
      <c r="I15" s="156"/>
      <c r="J15" s="42"/>
      <c r="K15" s="42"/>
      <c r="L15" s="42"/>
      <c r="M15" s="42"/>
      <c r="N15" s="42"/>
      <c r="O15" s="42"/>
    </row>
    <row r="16" spans="1:15" ht="14.25" x14ac:dyDescent="0.2">
      <c r="A16" s="42" t="s">
        <v>84</v>
      </c>
      <c r="B16" s="44" t="s">
        <v>36</v>
      </c>
      <c r="C16" s="46"/>
      <c r="D16" s="46"/>
      <c r="E16" s="46"/>
      <c r="F16" s="46"/>
      <c r="G16" s="46"/>
      <c r="H16" s="46"/>
      <c r="I16" s="46"/>
      <c r="J16" s="44" t="s">
        <v>34</v>
      </c>
      <c r="K16" s="42"/>
      <c r="L16" s="42"/>
      <c r="M16" s="42"/>
      <c r="N16" s="42"/>
      <c r="O16" s="42"/>
    </row>
    <row r="17" spans="1:15" ht="14.25" x14ac:dyDescent="0.2">
      <c r="A17" s="47" t="s">
        <v>85</v>
      </c>
      <c r="B17" s="49" t="s">
        <v>33</v>
      </c>
      <c r="C17" s="94" t="s">
        <v>1</v>
      </c>
      <c r="D17" s="51" t="s">
        <v>37</v>
      </c>
      <c r="E17" s="49" t="s">
        <v>38</v>
      </c>
      <c r="F17" s="50"/>
      <c r="G17" s="103" t="s">
        <v>9</v>
      </c>
      <c r="H17" s="49" t="s">
        <v>4</v>
      </c>
      <c r="I17" s="51" t="s">
        <v>32</v>
      </c>
      <c r="J17" s="49" t="s">
        <v>33</v>
      </c>
      <c r="K17" s="42"/>
      <c r="L17" s="42"/>
      <c r="M17" s="42"/>
      <c r="N17" s="42"/>
      <c r="O17" s="42"/>
    </row>
    <row r="18" spans="1:15" ht="14.25" x14ac:dyDescent="0.2">
      <c r="A18" s="42"/>
      <c r="B18" s="155" t="s">
        <v>19</v>
      </c>
      <c r="C18" s="155"/>
      <c r="D18" s="155"/>
      <c r="E18" s="155"/>
      <c r="F18" s="155"/>
      <c r="G18" s="155"/>
      <c r="H18" s="155"/>
      <c r="I18" s="155"/>
      <c r="J18" s="155"/>
      <c r="K18" s="42"/>
      <c r="L18" s="42"/>
      <c r="M18" s="42"/>
      <c r="N18" s="42"/>
      <c r="O18" s="42"/>
    </row>
    <row r="19" spans="1:15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 ht="16.5" x14ac:dyDescent="0.2">
      <c r="A20" s="42" t="s">
        <v>126</v>
      </c>
      <c r="B20" s="96">
        <v>19.675999999999998</v>
      </c>
      <c r="C20" s="98">
        <v>805.29299999999989</v>
      </c>
      <c r="D20" s="97">
        <v>0</v>
      </c>
      <c r="E20" s="98">
        <f>+B20+D20+C20</f>
        <v>824.96899999999994</v>
      </c>
      <c r="F20" s="42"/>
      <c r="G20" s="98">
        <f>+I20-H20</f>
        <v>687.01285035747389</v>
      </c>
      <c r="H20" s="98">
        <v>110.22014964252601</v>
      </c>
      <c r="I20" s="98">
        <f>+E20-J20</f>
        <v>797.23299999999995</v>
      </c>
      <c r="J20" s="96">
        <v>27.736000000000001</v>
      </c>
      <c r="K20" s="42"/>
      <c r="L20" s="42"/>
      <c r="M20" s="42"/>
      <c r="N20" s="42"/>
      <c r="O20" s="42"/>
    </row>
    <row r="21" spans="1:15" ht="16.5" x14ac:dyDescent="0.2">
      <c r="A21" s="42" t="s">
        <v>127</v>
      </c>
      <c r="B21" s="96">
        <f>+J20</f>
        <v>27.736000000000001</v>
      </c>
      <c r="C21" s="98">
        <v>845</v>
      </c>
      <c r="D21" s="97">
        <v>0</v>
      </c>
      <c r="E21" s="98">
        <f>+B21+D21+C21</f>
        <v>872.73599999999999</v>
      </c>
      <c r="F21" s="42"/>
      <c r="G21" s="98">
        <f>+I21-H21</f>
        <v>713.27932965001094</v>
      </c>
      <c r="H21" s="98">
        <v>119.45667034998903</v>
      </c>
      <c r="I21" s="98">
        <f>+E21-J21</f>
        <v>832.73599999999999</v>
      </c>
      <c r="J21" s="96">
        <v>40</v>
      </c>
      <c r="K21" s="42"/>
      <c r="L21" s="42"/>
      <c r="M21" s="42"/>
      <c r="N21" s="42"/>
      <c r="O21" s="42"/>
    </row>
    <row r="22" spans="1:15" ht="16.5" x14ac:dyDescent="0.2">
      <c r="A22" s="41" t="s">
        <v>168</v>
      </c>
      <c r="B22" s="99">
        <f>+J21</f>
        <v>40</v>
      </c>
      <c r="C22" s="102">
        <v>810</v>
      </c>
      <c r="D22" s="100">
        <v>0</v>
      </c>
      <c r="E22" s="102">
        <f>+B22+D22+C22</f>
        <v>850</v>
      </c>
      <c r="F22" s="101"/>
      <c r="G22" s="102">
        <f>+I22-H22</f>
        <v>700</v>
      </c>
      <c r="H22" s="102">
        <v>110</v>
      </c>
      <c r="I22" s="102">
        <f>+E22-J22</f>
        <v>810</v>
      </c>
      <c r="J22" s="99">
        <v>40</v>
      </c>
      <c r="K22" s="42"/>
      <c r="L22" s="42"/>
      <c r="M22" s="42"/>
      <c r="N22" s="42"/>
      <c r="O22" s="42"/>
    </row>
    <row r="23" spans="1:15" ht="16.5" x14ac:dyDescent="0.2">
      <c r="A23" s="88" t="s">
        <v>133</v>
      </c>
      <c r="B23" s="42"/>
      <c r="C23" s="57"/>
      <c r="D23" s="57"/>
      <c r="E23" s="57"/>
      <c r="F23" s="57"/>
      <c r="G23" s="57"/>
      <c r="H23" s="57"/>
      <c r="I23" s="42"/>
      <c r="J23" s="42"/>
      <c r="K23" s="42"/>
      <c r="L23" s="42"/>
      <c r="M23" s="42"/>
      <c r="N23" s="42"/>
      <c r="O23" s="42"/>
    </row>
    <row r="24" spans="1:15" ht="14.25" x14ac:dyDescent="0.2">
      <c r="A24" s="42" t="s">
        <v>136</v>
      </c>
      <c r="B24" s="104"/>
      <c r="C24" s="104"/>
      <c r="D24" s="104"/>
      <c r="E24" s="104"/>
      <c r="F24" s="104"/>
      <c r="G24" s="104"/>
      <c r="H24" s="104"/>
      <c r="I24" s="42"/>
      <c r="J24" s="42"/>
      <c r="K24" s="42"/>
      <c r="L24" s="42"/>
      <c r="M24" s="42"/>
      <c r="N24" s="42"/>
      <c r="O24" s="42"/>
    </row>
    <row r="25" spans="1:15" ht="14.25" x14ac:dyDescent="0.2">
      <c r="A25" s="45"/>
      <c r="B25" s="58"/>
      <c r="C25" s="58"/>
      <c r="D25" s="58"/>
      <c r="E25" s="58"/>
      <c r="F25" s="58"/>
      <c r="G25" s="58"/>
      <c r="H25" s="58"/>
      <c r="I25" s="42"/>
      <c r="J25" s="42"/>
      <c r="K25" s="42"/>
      <c r="L25" s="42"/>
      <c r="M25" s="42"/>
      <c r="N25" s="42"/>
      <c r="O25" s="42"/>
    </row>
    <row r="26" spans="1:15" ht="14.25" x14ac:dyDescent="0.2">
      <c r="A26" s="45"/>
      <c r="B26" s="58"/>
      <c r="C26" s="62"/>
      <c r="D26" s="58"/>
      <c r="E26" s="58"/>
      <c r="F26" s="58"/>
      <c r="G26" s="58"/>
      <c r="H26" s="58"/>
      <c r="I26" s="42"/>
      <c r="J26" s="42"/>
      <c r="K26" s="42"/>
      <c r="L26" s="42"/>
      <c r="M26" s="42"/>
      <c r="N26" s="42"/>
      <c r="O26" s="42"/>
    </row>
    <row r="27" spans="1:15" ht="14.25" x14ac:dyDescent="0.2">
      <c r="A27" s="41" t="s">
        <v>13</v>
      </c>
      <c r="B27" s="41"/>
      <c r="C27" s="41"/>
      <c r="D27" s="41"/>
      <c r="E27" s="41"/>
      <c r="F27" s="41"/>
      <c r="G27" s="41"/>
      <c r="H27" s="41"/>
      <c r="I27" s="42"/>
      <c r="J27" s="41"/>
      <c r="K27" s="42"/>
      <c r="L27" s="42"/>
      <c r="M27" s="42"/>
      <c r="N27" s="42"/>
      <c r="O27" s="42"/>
    </row>
    <row r="28" spans="1:15" ht="14.25" x14ac:dyDescent="0.2">
      <c r="A28" s="42"/>
      <c r="B28" s="156" t="s">
        <v>0</v>
      </c>
      <c r="C28" s="156"/>
      <c r="D28" s="156"/>
      <c r="E28" s="156"/>
      <c r="F28" s="42"/>
      <c r="G28" s="156" t="s">
        <v>24</v>
      </c>
      <c r="H28" s="156"/>
      <c r="I28" s="156"/>
      <c r="J28" s="42"/>
      <c r="K28" s="42"/>
      <c r="L28" s="42"/>
      <c r="M28" s="42"/>
      <c r="N28" s="42"/>
      <c r="O28" s="42"/>
    </row>
    <row r="29" spans="1:15" ht="14.25" x14ac:dyDescent="0.2">
      <c r="A29" s="42" t="s">
        <v>84</v>
      </c>
      <c r="B29" s="44" t="s">
        <v>36</v>
      </c>
      <c r="C29" s="46"/>
      <c r="D29" s="46"/>
      <c r="E29" s="46"/>
      <c r="F29" s="46"/>
      <c r="G29" s="46"/>
      <c r="H29" s="46"/>
      <c r="I29" s="46"/>
      <c r="J29" s="44" t="s">
        <v>34</v>
      </c>
      <c r="K29" s="42"/>
      <c r="L29" s="42"/>
      <c r="M29" s="42"/>
      <c r="N29" s="42"/>
      <c r="O29" s="42"/>
    </row>
    <row r="30" spans="1:15" ht="14.25" x14ac:dyDescent="0.2">
      <c r="A30" s="47" t="s">
        <v>85</v>
      </c>
      <c r="B30" s="49" t="s">
        <v>33</v>
      </c>
      <c r="C30" s="49" t="s">
        <v>1</v>
      </c>
      <c r="D30" s="51" t="s">
        <v>37</v>
      </c>
      <c r="E30" s="49" t="s">
        <v>38</v>
      </c>
      <c r="F30" s="50"/>
      <c r="G30" s="49" t="s">
        <v>35</v>
      </c>
      <c r="H30" s="49" t="s">
        <v>4</v>
      </c>
      <c r="I30" s="49" t="s">
        <v>32</v>
      </c>
      <c r="J30" s="49" t="s">
        <v>97</v>
      </c>
      <c r="K30" s="42"/>
      <c r="L30" s="42"/>
      <c r="M30" s="42"/>
      <c r="N30" s="42"/>
      <c r="O30" s="42"/>
    </row>
    <row r="31" spans="1:15" ht="14.25" x14ac:dyDescent="0.2">
      <c r="A31" s="42"/>
      <c r="B31" s="155" t="s">
        <v>20</v>
      </c>
      <c r="C31" s="155"/>
      <c r="D31" s="155"/>
      <c r="E31" s="155"/>
      <c r="F31" s="155"/>
      <c r="G31" s="155"/>
      <c r="H31" s="155"/>
      <c r="I31" s="155"/>
      <c r="J31" s="155"/>
      <c r="K31" s="42"/>
      <c r="L31" s="42"/>
      <c r="M31" s="42"/>
      <c r="N31" s="42"/>
      <c r="O31" s="42"/>
    </row>
    <row r="32" spans="1:15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1:15" ht="16.5" x14ac:dyDescent="0.2">
      <c r="A33" s="42" t="s">
        <v>126</v>
      </c>
      <c r="B33" s="97">
        <v>41.546999999999997</v>
      </c>
      <c r="C33" s="98">
        <v>541.625</v>
      </c>
      <c r="D33" s="97">
        <v>0.121953075174</v>
      </c>
      <c r="E33" s="105">
        <f>+B33+D33+C33</f>
        <v>583.29395307517404</v>
      </c>
      <c r="F33" s="42"/>
      <c r="G33" s="98">
        <f>+I33-H33</f>
        <v>435.17942153772003</v>
      </c>
      <c r="H33" s="98">
        <v>103.98553153745401</v>
      </c>
      <c r="I33" s="98">
        <f>+E33-J33</f>
        <v>539.16495307517403</v>
      </c>
      <c r="J33" s="106">
        <v>44.128999999999998</v>
      </c>
      <c r="K33" s="42"/>
      <c r="L33" s="42"/>
      <c r="M33" s="42"/>
      <c r="N33" s="42"/>
      <c r="O33" s="42"/>
    </row>
    <row r="34" spans="1:15" ht="16.5" x14ac:dyDescent="0.2">
      <c r="A34" s="42" t="s">
        <v>127</v>
      </c>
      <c r="B34" s="97">
        <f>+J33</f>
        <v>44.128999999999998</v>
      </c>
      <c r="C34" s="98">
        <v>565</v>
      </c>
      <c r="D34" s="97">
        <v>1</v>
      </c>
      <c r="E34" s="105">
        <f>+B34+D34+C34</f>
        <v>610.12900000000002</v>
      </c>
      <c r="F34" s="42"/>
      <c r="G34" s="98">
        <f>+I34-H34</f>
        <v>450.12900000000002</v>
      </c>
      <c r="H34" s="98">
        <v>110</v>
      </c>
      <c r="I34" s="98">
        <f>+E34-J34</f>
        <v>560.12900000000002</v>
      </c>
      <c r="J34" s="106">
        <v>50</v>
      </c>
      <c r="K34" s="42"/>
      <c r="L34" s="42"/>
      <c r="M34" s="42"/>
      <c r="N34" s="42"/>
      <c r="O34" s="42"/>
    </row>
    <row r="35" spans="1:15" ht="16.5" x14ac:dyDescent="0.2">
      <c r="A35" s="41" t="s">
        <v>168</v>
      </c>
      <c r="B35" s="100">
        <f>+J34</f>
        <v>50</v>
      </c>
      <c r="C35" s="102">
        <v>560</v>
      </c>
      <c r="D35" s="100">
        <v>1</v>
      </c>
      <c r="E35" s="107">
        <f>+B35+D35+C35</f>
        <v>611</v>
      </c>
      <c r="F35" s="101"/>
      <c r="G35" s="102">
        <f>+I35-H35</f>
        <v>461</v>
      </c>
      <c r="H35" s="102">
        <v>100</v>
      </c>
      <c r="I35" s="102">
        <f>+E35-J35</f>
        <v>561</v>
      </c>
      <c r="J35" s="102">
        <v>50</v>
      </c>
      <c r="K35" s="42"/>
      <c r="L35" s="42"/>
      <c r="M35" s="42"/>
      <c r="N35" s="42"/>
      <c r="O35" s="42"/>
    </row>
    <row r="36" spans="1:15" ht="16.5" x14ac:dyDescent="0.2">
      <c r="A36" s="88" t="s">
        <v>133</v>
      </c>
      <c r="B36" s="42"/>
      <c r="C36" s="57"/>
      <c r="D36" s="57"/>
      <c r="E36" s="57"/>
      <c r="F36" s="57"/>
      <c r="G36" s="57"/>
      <c r="H36" s="57"/>
      <c r="I36" s="42"/>
      <c r="J36" s="42"/>
      <c r="K36" s="42"/>
      <c r="L36" s="42"/>
      <c r="M36" s="42"/>
      <c r="N36" s="42"/>
      <c r="O36" s="42"/>
    </row>
    <row r="37" spans="1:15" ht="14.25" x14ac:dyDescent="0.2">
      <c r="A37" s="42" t="s">
        <v>137</v>
      </c>
      <c r="B37" s="58"/>
      <c r="C37" s="62"/>
      <c r="D37" s="58"/>
      <c r="E37" s="58"/>
      <c r="F37" s="58"/>
      <c r="G37" s="58"/>
      <c r="H37" s="58"/>
      <c r="I37" s="42"/>
      <c r="J37" s="42"/>
      <c r="K37" s="42"/>
      <c r="L37" s="42"/>
      <c r="M37" s="42"/>
      <c r="N37" s="42"/>
      <c r="O37" s="42"/>
    </row>
    <row r="38" spans="1:15" ht="14.25" x14ac:dyDescent="0.2">
      <c r="A38" s="45"/>
      <c r="B38" s="45"/>
      <c r="C38" s="45"/>
      <c r="D38" s="45"/>
      <c r="E38" s="45"/>
      <c r="F38" s="45"/>
      <c r="G38" s="45"/>
      <c r="H38" s="45"/>
      <c r="I38" s="42"/>
      <c r="J38" s="42"/>
      <c r="K38" s="42"/>
      <c r="L38" s="42"/>
      <c r="M38" s="42"/>
      <c r="N38" s="42"/>
      <c r="O38" s="42"/>
    </row>
    <row r="39" spans="1:15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1:15" ht="14.25" x14ac:dyDescent="0.2">
      <c r="A40" s="41" t="s">
        <v>14</v>
      </c>
      <c r="B40" s="41"/>
      <c r="C40" s="41"/>
      <c r="D40" s="41"/>
      <c r="E40" s="41"/>
      <c r="F40" s="41"/>
      <c r="G40" s="41"/>
      <c r="H40" s="41"/>
      <c r="I40" s="41"/>
      <c r="J40" s="42"/>
      <c r="K40" s="42"/>
      <c r="L40" s="42"/>
      <c r="M40" s="42"/>
      <c r="N40" s="42"/>
      <c r="O40" s="41"/>
    </row>
    <row r="41" spans="1:15" ht="14.25" x14ac:dyDescent="0.2">
      <c r="A41" s="42"/>
      <c r="B41" s="156" t="s">
        <v>27</v>
      </c>
      <c r="C41" s="156"/>
      <c r="D41" s="44" t="s">
        <v>30</v>
      </c>
      <c r="E41" s="156" t="s">
        <v>92</v>
      </c>
      <c r="F41" s="156"/>
      <c r="G41" s="156"/>
      <c r="H41" s="156"/>
      <c r="I41" s="42"/>
      <c r="J41" s="156" t="s">
        <v>24</v>
      </c>
      <c r="K41" s="156"/>
      <c r="L41" s="156"/>
      <c r="M41" s="156"/>
      <c r="N41" s="156"/>
      <c r="O41" s="42"/>
    </row>
    <row r="42" spans="1:15" ht="14.25" x14ac:dyDescent="0.2">
      <c r="A42" s="42" t="s">
        <v>84</v>
      </c>
      <c r="B42" s="44" t="s">
        <v>28</v>
      </c>
      <c r="C42" s="44" t="s">
        <v>29</v>
      </c>
      <c r="D42" s="42"/>
      <c r="E42" s="44" t="s">
        <v>36</v>
      </c>
      <c r="F42" s="44"/>
      <c r="G42" s="44"/>
      <c r="H42" s="44"/>
      <c r="I42" s="42"/>
      <c r="J42" s="44" t="s">
        <v>9</v>
      </c>
      <c r="K42" s="44"/>
      <c r="L42" s="44" t="s">
        <v>100</v>
      </c>
      <c r="M42" s="44"/>
      <c r="N42" s="44"/>
      <c r="O42" s="44" t="s">
        <v>34</v>
      </c>
    </row>
    <row r="43" spans="1:15" ht="14.25" x14ac:dyDescent="0.2">
      <c r="A43" s="47" t="s">
        <v>86</v>
      </c>
      <c r="B43" s="48"/>
      <c r="C43" s="48"/>
      <c r="D43" s="48"/>
      <c r="E43" s="49" t="s">
        <v>33</v>
      </c>
      <c r="F43" s="49" t="s">
        <v>1</v>
      </c>
      <c r="G43" s="49" t="s">
        <v>37</v>
      </c>
      <c r="H43" s="49" t="s">
        <v>38</v>
      </c>
      <c r="I43" s="49"/>
      <c r="J43" s="49" t="s">
        <v>42</v>
      </c>
      <c r="K43" s="49" t="s">
        <v>40</v>
      </c>
      <c r="L43" s="49" t="s">
        <v>5</v>
      </c>
      <c r="M43" s="51" t="s">
        <v>4</v>
      </c>
      <c r="N43" s="49" t="s">
        <v>32</v>
      </c>
      <c r="O43" s="49" t="s">
        <v>97</v>
      </c>
    </row>
    <row r="44" spans="1:15" ht="14.25" x14ac:dyDescent="0.2">
      <c r="A44" s="42"/>
      <c r="B44" s="154" t="s">
        <v>94</v>
      </c>
      <c r="C44" s="155"/>
      <c r="D44" s="108" t="s">
        <v>79</v>
      </c>
      <c r="E44" s="155" t="s">
        <v>21</v>
      </c>
      <c r="F44" s="155"/>
      <c r="G44" s="155"/>
      <c r="H44" s="155"/>
      <c r="I44" s="155"/>
      <c r="J44" s="155"/>
      <c r="K44" s="155"/>
      <c r="L44" s="155"/>
      <c r="M44" s="155"/>
      <c r="N44" s="155"/>
      <c r="O44" s="155"/>
    </row>
    <row r="45" spans="1:15" ht="14.25" x14ac:dyDescent="0.2">
      <c r="A45" s="42"/>
      <c r="B45" s="44"/>
      <c r="C45" s="44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1:15" ht="16.5" x14ac:dyDescent="0.2">
      <c r="A46" s="42" t="s">
        <v>126</v>
      </c>
      <c r="B46" s="96">
        <v>1671</v>
      </c>
      <c r="C46" s="96">
        <v>1536</v>
      </c>
      <c r="D46" s="96">
        <f>F46*1000/C46</f>
        <v>3633.8346354166665</v>
      </c>
      <c r="E46" s="96">
        <v>1790.905</v>
      </c>
      <c r="F46" s="96">
        <v>5581.57</v>
      </c>
      <c r="G46" s="106">
        <f>1.333*2.204622*55.0974</f>
        <v>161.91809726367242</v>
      </c>
      <c r="H46" s="96">
        <f>+E46+G46+F46</f>
        <v>7534.3930972636717</v>
      </c>
      <c r="I46" s="96"/>
      <c r="J46" s="96">
        <v>3086</v>
      </c>
      <c r="K46" s="96">
        <f>1.333*659.966</f>
        <v>879.73467800000003</v>
      </c>
      <c r="L46" s="98">
        <f>+N46-J46-K46-M46</f>
        <v>799.41848498118748</v>
      </c>
      <c r="M46" s="106">
        <f>1.333*2.204622*451.7713</f>
        <v>1327.6479342824839</v>
      </c>
      <c r="N46" s="96">
        <f>+H46-O46</f>
        <v>6092.8010972636712</v>
      </c>
      <c r="O46" s="96">
        <v>1441.5920000000001</v>
      </c>
    </row>
    <row r="47" spans="1:15" ht="16.5" x14ac:dyDescent="0.2">
      <c r="A47" s="42" t="s">
        <v>145</v>
      </c>
      <c r="B47" s="96">
        <v>1871.6</v>
      </c>
      <c r="C47" s="96">
        <v>1775.6</v>
      </c>
      <c r="D47" s="96">
        <f>F47*1000/C47</f>
        <v>4007.3271006983555</v>
      </c>
      <c r="E47" s="96">
        <f>O46</f>
        <v>1441.5920000000001</v>
      </c>
      <c r="F47" s="96">
        <v>7115.41</v>
      </c>
      <c r="G47" s="106">
        <v>171.48</v>
      </c>
      <c r="H47" s="96">
        <f>+E47+G47+F47</f>
        <v>8728.482</v>
      </c>
      <c r="I47" s="96"/>
      <c r="J47" s="96">
        <v>3142.09855417996</v>
      </c>
      <c r="K47" s="96">
        <f>1.333*528.75</f>
        <v>704.82375000000002</v>
      </c>
      <c r="L47" s="98">
        <f>+N47-J47-K47-M47</f>
        <v>891.76869582003997</v>
      </c>
      <c r="M47" s="98">
        <v>1272.711</v>
      </c>
      <c r="N47" s="96">
        <f>+H47-O47</f>
        <v>6011.402</v>
      </c>
      <c r="O47" s="96">
        <v>2717.08</v>
      </c>
    </row>
    <row r="48" spans="1:15" ht="16.5" x14ac:dyDescent="0.2">
      <c r="A48" s="41" t="s">
        <v>168</v>
      </c>
      <c r="B48" s="99">
        <v>1426.5</v>
      </c>
      <c r="C48" s="99">
        <v>1345.5</v>
      </c>
      <c r="D48" s="99">
        <f>F48*1000/C48</f>
        <v>4066.3322185061315</v>
      </c>
      <c r="E48" s="99">
        <f>O47</f>
        <v>2717.08</v>
      </c>
      <c r="F48" s="99">
        <v>5471.25</v>
      </c>
      <c r="G48" s="102">
        <v>75</v>
      </c>
      <c r="H48" s="99">
        <f>+E48+G48+F48</f>
        <v>8263.33</v>
      </c>
      <c r="I48" s="99"/>
      <c r="J48" s="99">
        <v>3233</v>
      </c>
      <c r="K48" s="99">
        <v>766</v>
      </c>
      <c r="L48" s="102">
        <f>+N48-J48-K48-M48</f>
        <v>719.32999999999993</v>
      </c>
      <c r="M48" s="102">
        <v>1200</v>
      </c>
      <c r="N48" s="99">
        <f>+H48-O48</f>
        <v>5918.33</v>
      </c>
      <c r="O48" s="99">
        <v>2345</v>
      </c>
    </row>
    <row r="49" spans="1:15" ht="16.5" x14ac:dyDescent="0.2">
      <c r="A49" s="88" t="s">
        <v>133</v>
      </c>
      <c r="B49" s="42"/>
      <c r="C49" s="57"/>
      <c r="D49" s="57"/>
      <c r="E49" s="57"/>
      <c r="F49" s="57"/>
      <c r="G49" s="57"/>
      <c r="H49" s="57"/>
      <c r="I49" s="42"/>
      <c r="J49" s="42"/>
      <c r="K49" s="42"/>
      <c r="L49" s="42"/>
      <c r="M49" s="42"/>
      <c r="N49" s="42"/>
      <c r="O49" s="42"/>
    </row>
    <row r="50" spans="1:15" ht="14.25" x14ac:dyDescent="0.2">
      <c r="A50" s="42" t="s">
        <v>138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1:15" ht="14.25" x14ac:dyDescent="0.2">
      <c r="A51" s="42" t="s">
        <v>135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1:15" ht="14.25" x14ac:dyDescent="0.2">
      <c r="A52" s="42" t="s">
        <v>26</v>
      </c>
      <c r="B52" s="109">
        <f ca="1">NOW()</f>
        <v>43417.408640856484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1:15" ht="15.75" x14ac:dyDescent="0.25">
      <c r="G53" s="14"/>
      <c r="H53" s="14"/>
    </row>
    <row r="54" spans="1:15" ht="15.75" x14ac:dyDescent="0.25">
      <c r="G54" s="14"/>
      <c r="H54" s="14"/>
    </row>
    <row r="55" spans="1:15" ht="15.75" x14ac:dyDescent="0.25">
      <c r="G55" s="14"/>
      <c r="H55" s="14"/>
    </row>
    <row r="56" spans="1:15" ht="15.75" x14ac:dyDescent="0.25">
      <c r="G56" s="14"/>
      <c r="H56" s="14"/>
    </row>
  </sheetData>
  <mergeCells count="14">
    <mergeCell ref="G2:J2"/>
    <mergeCell ref="G15:I15"/>
    <mergeCell ref="B15:E15"/>
    <mergeCell ref="B2:E2"/>
    <mergeCell ref="B28:E28"/>
    <mergeCell ref="G28:I28"/>
    <mergeCell ref="B5:K5"/>
    <mergeCell ref="B41:C41"/>
    <mergeCell ref="B44:C44"/>
    <mergeCell ref="B31:J31"/>
    <mergeCell ref="B18:J18"/>
    <mergeCell ref="E44:O44"/>
    <mergeCell ref="E41:H41"/>
    <mergeCell ref="J41:N41"/>
  </mergeCells>
  <phoneticPr fontId="3" type="noConversion"/>
  <pageMargins left="0.75" right="0.75" top="1" bottom="1" header="0.5" footer="0.5"/>
  <pageSetup scale="61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37"/>
  <sheetViews>
    <sheetView showGridLines="0" zoomScaleNormal="100" workbookViewId="0"/>
  </sheetViews>
  <sheetFormatPr defaultRowHeight="12.75" x14ac:dyDescent="0.2"/>
  <cols>
    <col min="1" max="3" width="11.7109375" customWidth="1"/>
    <col min="4" max="4" width="14.7109375" customWidth="1"/>
    <col min="5" max="5" width="12.5703125" customWidth="1"/>
    <col min="6" max="7" width="11.7109375" customWidth="1"/>
  </cols>
  <sheetData>
    <row r="1" spans="1:11" ht="15.6" customHeight="1" x14ac:dyDescent="0.2">
      <c r="A1" s="41" t="s">
        <v>51</v>
      </c>
      <c r="B1" s="41"/>
      <c r="C1" s="41"/>
      <c r="D1" s="41"/>
      <c r="E1" s="41"/>
      <c r="F1" s="41"/>
      <c r="G1" s="41"/>
      <c r="H1" s="1"/>
      <c r="I1" s="1"/>
      <c r="J1" s="1"/>
      <c r="K1" s="1"/>
    </row>
    <row r="2" spans="1:11" ht="15.6" customHeight="1" x14ac:dyDescent="0.2">
      <c r="A2" s="45" t="s">
        <v>15</v>
      </c>
      <c r="B2" s="89" t="s">
        <v>139</v>
      </c>
      <c r="C2" s="89" t="s">
        <v>140</v>
      </c>
      <c r="D2" s="89" t="s">
        <v>141</v>
      </c>
      <c r="E2" s="89" t="s">
        <v>142</v>
      </c>
      <c r="F2" s="89" t="s">
        <v>143</v>
      </c>
      <c r="G2" s="89" t="s">
        <v>144</v>
      </c>
      <c r="H2" s="1"/>
      <c r="I2" s="1"/>
      <c r="J2" s="1"/>
      <c r="K2" s="1"/>
    </row>
    <row r="3" spans="1:11" ht="15.6" customHeight="1" x14ac:dyDescent="0.2">
      <c r="A3" s="41" t="s">
        <v>16</v>
      </c>
      <c r="B3" s="50"/>
      <c r="C3" s="110"/>
      <c r="D3" s="110"/>
      <c r="E3" s="110"/>
      <c r="F3" s="110"/>
      <c r="G3" s="110"/>
      <c r="H3" s="1"/>
      <c r="I3" s="1"/>
      <c r="J3" s="1"/>
      <c r="K3" s="2"/>
    </row>
    <row r="4" spans="1:11" ht="14.25" x14ac:dyDescent="0.2">
      <c r="A4" s="111"/>
      <c r="B4" s="112" t="s">
        <v>77</v>
      </c>
      <c r="C4" s="112" t="s">
        <v>87</v>
      </c>
      <c r="D4" s="112" t="s">
        <v>106</v>
      </c>
      <c r="E4" s="112" t="s">
        <v>50</v>
      </c>
      <c r="F4" s="112" t="s">
        <v>76</v>
      </c>
      <c r="G4" s="112" t="s">
        <v>77</v>
      </c>
      <c r="H4" s="1"/>
      <c r="I4" s="2"/>
      <c r="J4" s="2"/>
      <c r="K4" s="2"/>
    </row>
    <row r="5" spans="1:11" ht="14.25" x14ac:dyDescent="0.2">
      <c r="A5" s="42"/>
      <c r="B5" s="42"/>
      <c r="C5" s="42"/>
      <c r="D5" s="44"/>
      <c r="E5" s="42"/>
      <c r="F5" s="42"/>
      <c r="G5" s="42"/>
      <c r="H5" s="1"/>
      <c r="I5" s="1"/>
      <c r="J5" s="1"/>
      <c r="K5" s="1"/>
    </row>
    <row r="6" spans="1:11" ht="14.25" x14ac:dyDescent="0.2">
      <c r="A6" s="42" t="s">
        <v>53</v>
      </c>
      <c r="B6" s="113">
        <v>9.9700000000000006</v>
      </c>
      <c r="C6" s="113">
        <v>223</v>
      </c>
      <c r="D6" s="113">
        <v>21.8</v>
      </c>
      <c r="E6" s="113">
        <v>18.7</v>
      </c>
      <c r="F6" s="113">
        <v>23</v>
      </c>
      <c r="G6" s="113">
        <v>12.7</v>
      </c>
      <c r="H6" s="1"/>
      <c r="I6" s="3"/>
      <c r="J6" s="3"/>
      <c r="K6" s="3"/>
    </row>
    <row r="7" spans="1:11" ht="14.25" x14ac:dyDescent="0.2">
      <c r="A7" s="42" t="s">
        <v>55</v>
      </c>
      <c r="B7" s="113">
        <v>9.59</v>
      </c>
      <c r="C7" s="113">
        <v>158</v>
      </c>
      <c r="D7" s="113">
        <v>15.1</v>
      </c>
      <c r="E7" s="113">
        <v>16.2</v>
      </c>
      <c r="F7" s="113">
        <v>21.7</v>
      </c>
      <c r="G7" s="113">
        <v>8.15</v>
      </c>
      <c r="H7" s="1"/>
      <c r="I7" s="3"/>
      <c r="J7" s="3"/>
      <c r="K7" s="3"/>
    </row>
    <row r="8" spans="1:11" ht="14.25" x14ac:dyDescent="0.2">
      <c r="A8" s="42" t="s">
        <v>56</v>
      </c>
      <c r="B8" s="113">
        <v>11.3</v>
      </c>
      <c r="C8" s="113">
        <v>161</v>
      </c>
      <c r="D8" s="113">
        <v>23.3</v>
      </c>
      <c r="E8" s="113">
        <v>19.3</v>
      </c>
      <c r="F8" s="113">
        <v>22.5</v>
      </c>
      <c r="G8" s="113">
        <v>12.2</v>
      </c>
      <c r="H8" s="1"/>
      <c r="I8" s="3"/>
      <c r="J8" s="3"/>
      <c r="K8" s="3"/>
    </row>
    <row r="9" spans="1:11" ht="14.25" x14ac:dyDescent="0.2">
      <c r="A9" s="42" t="s">
        <v>67</v>
      </c>
      <c r="B9" s="113">
        <v>12.5</v>
      </c>
      <c r="C9" s="113">
        <v>260</v>
      </c>
      <c r="D9" s="113">
        <v>29.1</v>
      </c>
      <c r="E9" s="113">
        <v>24</v>
      </c>
      <c r="F9" s="113">
        <v>31.8</v>
      </c>
      <c r="G9" s="113">
        <v>13.9</v>
      </c>
      <c r="H9" s="1"/>
      <c r="I9" s="3"/>
      <c r="J9" s="3"/>
      <c r="K9" s="3"/>
    </row>
    <row r="10" spans="1:11" ht="14.25" x14ac:dyDescent="0.2">
      <c r="A10" s="42" t="s">
        <v>91</v>
      </c>
      <c r="B10" s="113">
        <v>14.4</v>
      </c>
      <c r="C10" s="113">
        <v>252</v>
      </c>
      <c r="D10" s="113">
        <v>25.4</v>
      </c>
      <c r="E10" s="113">
        <v>26.5</v>
      </c>
      <c r="F10" s="113">
        <v>30.1</v>
      </c>
      <c r="G10" s="113">
        <v>13.8</v>
      </c>
      <c r="H10" s="1"/>
      <c r="I10" s="3"/>
      <c r="J10" s="3"/>
      <c r="K10" s="3"/>
    </row>
    <row r="11" spans="1:11" ht="14.25" x14ac:dyDescent="0.2">
      <c r="A11" s="42" t="s">
        <v>99</v>
      </c>
      <c r="B11" s="113">
        <v>13</v>
      </c>
      <c r="C11" s="113">
        <v>246</v>
      </c>
      <c r="D11" s="113">
        <v>21.4</v>
      </c>
      <c r="E11" s="113">
        <v>20.6</v>
      </c>
      <c r="F11" s="113">
        <v>24.9</v>
      </c>
      <c r="G11" s="113">
        <v>13.8</v>
      </c>
      <c r="H11" s="1"/>
      <c r="I11" s="3"/>
      <c r="J11" s="3"/>
      <c r="K11" s="3"/>
    </row>
    <row r="12" spans="1:11" ht="14.25" x14ac:dyDescent="0.2">
      <c r="A12" s="42" t="s">
        <v>102</v>
      </c>
      <c r="B12" s="113">
        <v>10.1</v>
      </c>
      <c r="C12" s="113">
        <v>194</v>
      </c>
      <c r="D12" s="113">
        <v>21.7</v>
      </c>
      <c r="E12" s="113">
        <v>16.899999999999999</v>
      </c>
      <c r="F12" s="113">
        <v>22</v>
      </c>
      <c r="G12" s="113">
        <v>11.8</v>
      </c>
      <c r="H12" s="1"/>
      <c r="I12" s="3"/>
      <c r="J12" s="3"/>
      <c r="K12" s="3"/>
    </row>
    <row r="13" spans="1:11" ht="14.25" x14ac:dyDescent="0.2">
      <c r="A13" s="42" t="s">
        <v>103</v>
      </c>
      <c r="B13" s="113">
        <v>8.9499999999999993</v>
      </c>
      <c r="C13" s="113">
        <v>227</v>
      </c>
      <c r="D13" s="113">
        <v>19.600000000000001</v>
      </c>
      <c r="E13" s="113">
        <v>15.6</v>
      </c>
      <c r="F13" s="113">
        <v>19.3</v>
      </c>
      <c r="G13" s="113">
        <v>8.9499999999999993</v>
      </c>
      <c r="H13" s="1"/>
      <c r="I13" s="3"/>
      <c r="J13" s="3"/>
      <c r="K13" s="3"/>
    </row>
    <row r="14" spans="1:11" ht="14.25" x14ac:dyDescent="0.2">
      <c r="A14" s="42" t="s">
        <v>119</v>
      </c>
      <c r="B14" s="113">
        <v>9.4700000000000006</v>
      </c>
      <c r="C14" s="113">
        <v>195</v>
      </c>
      <c r="D14" s="113">
        <v>17.399999999999999</v>
      </c>
      <c r="E14" s="113">
        <v>16.600000000000001</v>
      </c>
      <c r="F14" s="113">
        <v>19.7</v>
      </c>
      <c r="G14" s="113">
        <v>8</v>
      </c>
      <c r="H14" s="1"/>
      <c r="I14" s="3"/>
      <c r="J14" s="3"/>
      <c r="K14" s="3"/>
    </row>
    <row r="15" spans="1:11" ht="16.5" x14ac:dyDescent="0.2">
      <c r="A15" s="42" t="s">
        <v>145</v>
      </c>
      <c r="B15" s="113">
        <v>9.33</v>
      </c>
      <c r="C15" s="113">
        <v>142</v>
      </c>
      <c r="D15" s="113">
        <v>17.25</v>
      </c>
      <c r="E15" s="113">
        <v>17.5</v>
      </c>
      <c r="F15" s="113">
        <v>22.9</v>
      </c>
      <c r="G15" s="113">
        <v>9.5</v>
      </c>
      <c r="H15" s="1"/>
      <c r="I15" s="3"/>
      <c r="J15" s="3"/>
      <c r="K15" s="3"/>
    </row>
    <row r="16" spans="1:11" ht="16.5" x14ac:dyDescent="0.2">
      <c r="A16" s="42" t="s">
        <v>167</v>
      </c>
      <c r="B16" s="114" t="s">
        <v>197</v>
      </c>
      <c r="C16" s="113" t="s">
        <v>174</v>
      </c>
      <c r="D16" s="114" t="s">
        <v>200</v>
      </c>
      <c r="E16" s="114" t="s">
        <v>201</v>
      </c>
      <c r="F16" s="114" t="s">
        <v>199</v>
      </c>
      <c r="G16" s="114" t="s">
        <v>211</v>
      </c>
      <c r="H16" s="1"/>
      <c r="I16" s="3"/>
      <c r="J16" s="3"/>
      <c r="K16" s="3"/>
    </row>
    <row r="17" spans="1:11" ht="14.25" x14ac:dyDescent="0.2">
      <c r="A17" s="45"/>
      <c r="B17" s="115"/>
      <c r="C17" s="116"/>
      <c r="D17" s="117"/>
      <c r="E17" s="117"/>
      <c r="F17" s="114"/>
      <c r="G17" s="118"/>
      <c r="H17" s="3"/>
      <c r="I17" s="3"/>
      <c r="J17" s="3"/>
      <c r="K17" s="3"/>
    </row>
    <row r="18" spans="1:11" ht="14.25" x14ac:dyDescent="0.2">
      <c r="A18" s="69" t="s">
        <v>121</v>
      </c>
      <c r="B18" s="113"/>
      <c r="C18" s="113"/>
      <c r="D18" s="113"/>
      <c r="E18" s="113"/>
      <c r="F18" s="113"/>
      <c r="G18" s="113"/>
      <c r="H18" s="1"/>
    </row>
    <row r="19" spans="1:11" ht="14.25" x14ac:dyDescent="0.2">
      <c r="A19" s="42" t="s">
        <v>71</v>
      </c>
      <c r="B19" s="113">
        <v>9.35</v>
      </c>
      <c r="C19" s="113">
        <v>127</v>
      </c>
      <c r="D19" s="113">
        <v>17.399999999999999</v>
      </c>
      <c r="E19" s="113">
        <v>17.3</v>
      </c>
      <c r="F19" s="113">
        <v>23</v>
      </c>
      <c r="G19" s="113">
        <v>9.5500000000000007</v>
      </c>
      <c r="H19" s="1"/>
    </row>
    <row r="20" spans="1:11" ht="14.25" x14ac:dyDescent="0.2">
      <c r="A20" s="42" t="s">
        <v>58</v>
      </c>
      <c r="B20" s="113">
        <v>9.18</v>
      </c>
      <c r="C20" s="113">
        <v>141</v>
      </c>
      <c r="D20" s="113">
        <v>16.8</v>
      </c>
      <c r="E20" s="113">
        <v>16.600000000000001</v>
      </c>
      <c r="F20" s="113">
        <v>23.2</v>
      </c>
      <c r="G20" s="113">
        <v>9.23</v>
      </c>
      <c r="H20" s="1"/>
    </row>
    <row r="21" spans="1:11" ht="14.25" x14ac:dyDescent="0.2">
      <c r="A21" s="42" t="s">
        <v>59</v>
      </c>
      <c r="B21" s="113">
        <v>9.2200000000000006</v>
      </c>
      <c r="C21" s="113">
        <v>144</v>
      </c>
      <c r="D21" s="113">
        <v>16.600000000000001</v>
      </c>
      <c r="E21" s="113">
        <v>17.2</v>
      </c>
      <c r="F21" s="113">
        <v>22.7</v>
      </c>
      <c r="G21" s="113">
        <v>9.2100000000000009</v>
      </c>
      <c r="H21" s="1"/>
    </row>
    <row r="22" spans="1:11" ht="14.25" x14ac:dyDescent="0.2">
      <c r="A22" s="42" t="s">
        <v>60</v>
      </c>
      <c r="B22" s="113">
        <v>9.3000000000000007</v>
      </c>
      <c r="C22" s="113">
        <v>143</v>
      </c>
      <c r="D22" s="113">
        <v>17</v>
      </c>
      <c r="E22" s="113">
        <v>16.7</v>
      </c>
      <c r="F22" s="113">
        <v>23</v>
      </c>
      <c r="G22" s="113">
        <v>9.34</v>
      </c>
      <c r="H22" s="1"/>
    </row>
    <row r="23" spans="1:11" ht="14.25" x14ac:dyDescent="0.2">
      <c r="A23" s="42" t="s">
        <v>61</v>
      </c>
      <c r="B23" s="113">
        <v>9.3000000000000007</v>
      </c>
      <c r="C23" s="113">
        <v>139</v>
      </c>
      <c r="D23" s="113">
        <v>17.600000000000001</v>
      </c>
      <c r="E23" s="113">
        <v>17.7</v>
      </c>
      <c r="F23" s="113">
        <v>22.9</v>
      </c>
      <c r="G23" s="113">
        <v>9.39</v>
      </c>
      <c r="H23" s="1"/>
    </row>
    <row r="24" spans="1:11" ht="14.25" x14ac:dyDescent="0.2">
      <c r="A24" s="42" t="s">
        <v>62</v>
      </c>
      <c r="B24" s="113">
        <v>9.5</v>
      </c>
      <c r="C24" s="113">
        <v>156</v>
      </c>
      <c r="D24" s="113">
        <v>17.7</v>
      </c>
      <c r="E24" s="113">
        <v>18.3</v>
      </c>
      <c r="F24" s="113">
        <v>22.7</v>
      </c>
      <c r="G24" s="113">
        <v>9.81</v>
      </c>
      <c r="H24" s="1"/>
    </row>
    <row r="25" spans="1:11" ht="14.25" x14ac:dyDescent="0.2">
      <c r="A25" s="42" t="s">
        <v>63</v>
      </c>
      <c r="B25" s="113">
        <v>9.81</v>
      </c>
      <c r="C25" s="113" t="s">
        <v>10</v>
      </c>
      <c r="D25" s="113">
        <v>17.3</v>
      </c>
      <c r="E25" s="113">
        <v>18.2</v>
      </c>
      <c r="F25" s="113">
        <v>24.4</v>
      </c>
      <c r="G25" s="113">
        <v>9.76</v>
      </c>
      <c r="H25" s="1"/>
    </row>
    <row r="26" spans="1:11" ht="14.25" x14ac:dyDescent="0.2">
      <c r="A26" s="42" t="s">
        <v>64</v>
      </c>
      <c r="B26" s="113">
        <v>9.85</v>
      </c>
      <c r="C26" s="113" t="s">
        <v>10</v>
      </c>
      <c r="D26" s="113">
        <v>18</v>
      </c>
      <c r="E26" s="113">
        <v>17.5</v>
      </c>
      <c r="F26" s="113">
        <v>23.3</v>
      </c>
      <c r="G26" s="113">
        <v>9.92</v>
      </c>
      <c r="H26" s="1"/>
    </row>
    <row r="27" spans="1:11" ht="14.25" x14ac:dyDescent="0.2">
      <c r="A27" s="42" t="s">
        <v>65</v>
      </c>
      <c r="B27" s="113">
        <v>9.84</v>
      </c>
      <c r="C27" s="113" t="s">
        <v>10</v>
      </c>
      <c r="D27" s="113">
        <v>17.899999999999999</v>
      </c>
      <c r="E27" s="113">
        <v>18.5</v>
      </c>
      <c r="F27" s="113">
        <v>22.7</v>
      </c>
      <c r="G27" s="113">
        <v>10.1</v>
      </c>
      <c r="H27" s="1"/>
    </row>
    <row r="28" spans="1:11" ht="14.25" x14ac:dyDescent="0.2">
      <c r="A28" s="42" t="s">
        <v>66</v>
      </c>
      <c r="B28" s="113">
        <v>9.5500000000000007</v>
      </c>
      <c r="C28" s="113" t="s">
        <v>10</v>
      </c>
      <c r="D28" s="113">
        <v>17.7</v>
      </c>
      <c r="E28" s="113">
        <v>17.2</v>
      </c>
      <c r="F28" s="113">
        <v>22.7</v>
      </c>
      <c r="G28" s="113">
        <v>9.98</v>
      </c>
      <c r="H28" s="1"/>
    </row>
    <row r="29" spans="1:11" ht="14.25" x14ac:dyDescent="0.2">
      <c r="A29" s="42" t="s">
        <v>68</v>
      </c>
      <c r="B29" s="113">
        <v>9.08</v>
      </c>
      <c r="C29" s="113" t="s">
        <v>10</v>
      </c>
      <c r="D29" s="113">
        <v>17.399999999999999</v>
      </c>
      <c r="E29" s="113">
        <v>17.100000000000001</v>
      </c>
      <c r="F29" s="113">
        <v>22.4</v>
      </c>
      <c r="G29" s="113">
        <v>9.9600000000000009</v>
      </c>
      <c r="H29" s="1"/>
    </row>
    <row r="30" spans="1:11" ht="14.25" x14ac:dyDescent="0.2">
      <c r="A30" s="42" t="s">
        <v>69</v>
      </c>
      <c r="B30" s="113">
        <v>8.59</v>
      </c>
      <c r="C30" s="113">
        <v>134</v>
      </c>
      <c r="D30" s="113">
        <v>16.899999999999999</v>
      </c>
      <c r="E30" s="113">
        <v>15.3</v>
      </c>
      <c r="F30" s="113">
        <v>22</v>
      </c>
      <c r="G30" s="113">
        <v>10.199999999999999</v>
      </c>
      <c r="H30" s="1"/>
    </row>
    <row r="31" spans="1:11" ht="14.25" x14ac:dyDescent="0.2">
      <c r="A31" s="45"/>
      <c r="B31" s="113"/>
      <c r="C31" s="113"/>
      <c r="D31" s="113"/>
      <c r="E31" s="113"/>
      <c r="F31" s="113"/>
      <c r="G31" s="113"/>
    </row>
    <row r="32" spans="1:11" ht="14.25" x14ac:dyDescent="0.2">
      <c r="A32" s="69" t="s">
        <v>182</v>
      </c>
      <c r="B32" s="113"/>
      <c r="C32" s="113"/>
      <c r="D32" s="113"/>
      <c r="E32" s="113"/>
      <c r="F32" s="113"/>
      <c r="G32" s="113"/>
    </row>
    <row r="33" spans="1:7" ht="14.25" x14ac:dyDescent="0.2">
      <c r="A33" s="41" t="s">
        <v>71</v>
      </c>
      <c r="B33" s="119">
        <v>8.77</v>
      </c>
      <c r="C33" s="119">
        <v>141</v>
      </c>
      <c r="D33" s="119">
        <v>16.7</v>
      </c>
      <c r="E33" s="119">
        <v>15.2</v>
      </c>
      <c r="F33" s="119">
        <v>22.2</v>
      </c>
      <c r="G33" s="119">
        <v>9.7899999999999991</v>
      </c>
    </row>
    <row r="34" spans="1:7" ht="16.5" x14ac:dyDescent="0.2">
      <c r="A34" s="42" t="s">
        <v>146</v>
      </c>
      <c r="B34" s="42"/>
      <c r="C34" s="42"/>
      <c r="D34" s="42"/>
      <c r="E34" s="42"/>
      <c r="F34" s="42"/>
      <c r="G34" s="42"/>
    </row>
    <row r="35" spans="1:7" ht="14.25" x14ac:dyDescent="0.2">
      <c r="A35" s="42" t="s">
        <v>57</v>
      </c>
      <c r="B35" s="120"/>
      <c r="C35" s="120" t="s">
        <v>107</v>
      </c>
      <c r="D35" s="120"/>
      <c r="E35" s="120"/>
      <c r="F35" s="120"/>
      <c r="G35" s="120"/>
    </row>
    <row r="36" spans="1:7" ht="14.25" x14ac:dyDescent="0.2">
      <c r="A36" s="42" t="s">
        <v>147</v>
      </c>
      <c r="B36" s="42"/>
      <c r="C36" s="42"/>
      <c r="D36" s="42"/>
      <c r="E36" s="42"/>
      <c r="F36" s="42"/>
      <c r="G36" s="42"/>
    </row>
    <row r="37" spans="1:7" ht="14.25" x14ac:dyDescent="0.2">
      <c r="A37" s="42" t="s">
        <v>26</v>
      </c>
      <c r="B37" s="80">
        <f ca="1">NOW()</f>
        <v>43417.408640856484</v>
      </c>
      <c r="C37" s="42"/>
      <c r="D37" s="42"/>
      <c r="E37" s="42"/>
      <c r="F37" s="42"/>
      <c r="G37" s="42"/>
    </row>
  </sheetData>
  <phoneticPr fontId="3" type="noConversion"/>
  <pageMargins left="0.75" right="0.75" top="1" bottom="1" header="0.5" footer="0.5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57"/>
  <sheetViews>
    <sheetView showGridLines="0" zoomScaleNormal="100" workbookViewId="0"/>
  </sheetViews>
  <sheetFormatPr defaultRowHeight="12.75" x14ac:dyDescent="0.2"/>
  <cols>
    <col min="1" max="2" width="11.7109375" customWidth="1"/>
    <col min="3" max="3" width="11.5703125" customWidth="1"/>
    <col min="4" max="4" width="13.7109375" customWidth="1"/>
    <col min="5" max="5" width="10.5703125" customWidth="1"/>
    <col min="6" max="7" width="10.7109375" customWidth="1"/>
    <col min="8" max="9" width="10.5703125" customWidth="1"/>
  </cols>
  <sheetData>
    <row r="1" spans="1:9" ht="14.25" x14ac:dyDescent="0.2">
      <c r="A1" s="41" t="s">
        <v>22</v>
      </c>
      <c r="B1" s="41"/>
      <c r="C1" s="41"/>
      <c r="D1" s="41"/>
      <c r="E1" s="41"/>
      <c r="F1" s="41"/>
      <c r="G1" s="41"/>
      <c r="H1" s="41"/>
      <c r="I1" s="42"/>
    </row>
    <row r="2" spans="1:9" ht="15.6" customHeight="1" x14ac:dyDescent="0.2">
      <c r="A2" s="121" t="s">
        <v>15</v>
      </c>
      <c r="B2" s="89" t="s">
        <v>44</v>
      </c>
      <c r="C2" s="89" t="s">
        <v>17</v>
      </c>
      <c r="D2" s="89" t="s">
        <v>89</v>
      </c>
      <c r="E2" s="122" t="s">
        <v>52</v>
      </c>
      <c r="F2" s="122" t="s">
        <v>45</v>
      </c>
      <c r="G2" s="89" t="s">
        <v>49</v>
      </c>
      <c r="H2" s="89" t="s">
        <v>148</v>
      </c>
      <c r="I2" s="123" t="s">
        <v>48</v>
      </c>
    </row>
    <row r="3" spans="1:9" ht="15.6" customHeight="1" x14ac:dyDescent="0.2">
      <c r="A3" s="94" t="s">
        <v>16</v>
      </c>
      <c r="B3" s="49" t="s">
        <v>149</v>
      </c>
      <c r="C3" s="49" t="s">
        <v>150</v>
      </c>
      <c r="D3" s="49" t="s">
        <v>151</v>
      </c>
      <c r="E3" s="49" t="s">
        <v>151</v>
      </c>
      <c r="F3" s="49" t="s">
        <v>152</v>
      </c>
      <c r="G3" s="49" t="s">
        <v>153</v>
      </c>
      <c r="H3" s="49"/>
      <c r="I3" s="49" t="s">
        <v>154</v>
      </c>
    </row>
    <row r="4" spans="1:9" ht="14.25" x14ac:dyDescent="0.2">
      <c r="A4" s="42"/>
      <c r="B4" s="61" t="s">
        <v>108</v>
      </c>
      <c r="C4" s="124"/>
      <c r="D4" s="124"/>
      <c r="E4" s="124"/>
      <c r="F4" s="124"/>
      <c r="G4" s="124"/>
      <c r="H4" s="124"/>
      <c r="I4" s="124"/>
    </row>
    <row r="5" spans="1:9" ht="14.25" x14ac:dyDescent="0.2">
      <c r="A5" s="42"/>
      <c r="B5" s="42"/>
      <c r="C5" s="42"/>
      <c r="D5" s="42"/>
      <c r="E5" s="42"/>
      <c r="F5" s="42"/>
      <c r="G5" s="42"/>
      <c r="H5" s="42"/>
      <c r="I5" s="42"/>
    </row>
    <row r="6" spans="1:9" ht="14.25" x14ac:dyDescent="0.2">
      <c r="A6" s="42" t="s">
        <v>53</v>
      </c>
      <c r="B6" s="113">
        <v>32.159999999999997</v>
      </c>
      <c r="C6" s="113">
        <v>37.1</v>
      </c>
      <c r="D6" s="113">
        <v>50.24</v>
      </c>
      <c r="E6" s="113">
        <v>39.54</v>
      </c>
      <c r="F6" s="113">
        <v>78.489999999999995</v>
      </c>
      <c r="G6" s="113">
        <v>32.75</v>
      </c>
      <c r="H6" s="113">
        <v>26.72</v>
      </c>
      <c r="I6" s="113">
        <v>25.47</v>
      </c>
    </row>
    <row r="7" spans="1:9" ht="14.25" x14ac:dyDescent="0.2">
      <c r="A7" s="42" t="s">
        <v>55</v>
      </c>
      <c r="B7" s="113">
        <v>35.950000000000003</v>
      </c>
      <c r="C7" s="113">
        <v>40.270000000000003</v>
      </c>
      <c r="D7" s="113">
        <v>52.8</v>
      </c>
      <c r="E7" s="113">
        <v>42.88</v>
      </c>
      <c r="F7" s="113">
        <v>59.62</v>
      </c>
      <c r="G7" s="113">
        <v>39.29</v>
      </c>
      <c r="H7" s="113">
        <v>31.99</v>
      </c>
      <c r="I7" s="113">
        <v>32.26</v>
      </c>
    </row>
    <row r="8" spans="1:9" ht="14.25" x14ac:dyDescent="0.2">
      <c r="A8" s="42" t="s">
        <v>56</v>
      </c>
      <c r="B8" s="113">
        <v>53.2</v>
      </c>
      <c r="C8" s="113">
        <v>54.5</v>
      </c>
      <c r="D8" s="113">
        <v>86.12</v>
      </c>
      <c r="E8" s="113">
        <v>58.68</v>
      </c>
      <c r="F8" s="113">
        <v>77.239999999999995</v>
      </c>
      <c r="G8" s="113">
        <v>60.76</v>
      </c>
      <c r="H8" s="113">
        <v>51.52</v>
      </c>
      <c r="I8" s="113">
        <v>51.34</v>
      </c>
    </row>
    <row r="9" spans="1:9" ht="14.25" x14ac:dyDescent="0.2">
      <c r="A9" s="42" t="s">
        <v>67</v>
      </c>
      <c r="B9" s="113">
        <v>51.9</v>
      </c>
      <c r="C9" s="113">
        <v>53.22</v>
      </c>
      <c r="D9" s="113">
        <v>83.2</v>
      </c>
      <c r="E9" s="113">
        <v>57.19</v>
      </c>
      <c r="F9" s="113">
        <v>100.15</v>
      </c>
      <c r="G9" s="113">
        <v>56.09</v>
      </c>
      <c r="H9" s="113">
        <v>48.11</v>
      </c>
      <c r="I9" s="113">
        <v>50.33</v>
      </c>
    </row>
    <row r="10" spans="1:9" ht="14.25" x14ac:dyDescent="0.2">
      <c r="A10" s="42" t="s">
        <v>91</v>
      </c>
      <c r="B10" s="113">
        <v>47.13</v>
      </c>
      <c r="C10" s="113">
        <v>48.6</v>
      </c>
      <c r="D10" s="113">
        <v>65.87</v>
      </c>
      <c r="E10" s="113">
        <v>56.17</v>
      </c>
      <c r="F10" s="113">
        <v>91.83</v>
      </c>
      <c r="G10" s="113">
        <v>46.66</v>
      </c>
      <c r="H10" s="113">
        <v>51.8</v>
      </c>
      <c r="I10" s="113">
        <v>43.24</v>
      </c>
    </row>
    <row r="11" spans="1:9" ht="14.25" x14ac:dyDescent="0.2">
      <c r="A11" s="42" t="s">
        <v>99</v>
      </c>
      <c r="B11" s="113">
        <v>38.229999999999997</v>
      </c>
      <c r="C11" s="113">
        <v>60.66</v>
      </c>
      <c r="D11" s="113">
        <v>59.12</v>
      </c>
      <c r="E11" s="113">
        <v>43.7</v>
      </c>
      <c r="F11" s="113">
        <v>68.23</v>
      </c>
      <c r="G11" s="113">
        <v>39.43</v>
      </c>
      <c r="H11" s="113">
        <v>43.93</v>
      </c>
      <c r="I11" s="113">
        <v>39.76</v>
      </c>
    </row>
    <row r="12" spans="1:9" ht="14.25" x14ac:dyDescent="0.2">
      <c r="A12" s="42" t="s">
        <v>102</v>
      </c>
      <c r="B12" s="113">
        <v>31.6</v>
      </c>
      <c r="C12" s="113">
        <v>45.74</v>
      </c>
      <c r="D12" s="113">
        <v>66.72</v>
      </c>
      <c r="E12" s="113">
        <v>37.81</v>
      </c>
      <c r="F12" s="113">
        <v>57.96</v>
      </c>
      <c r="G12" s="113">
        <v>37.479999999999997</v>
      </c>
      <c r="H12" s="113">
        <v>33.43</v>
      </c>
      <c r="I12" s="113">
        <v>31.36</v>
      </c>
    </row>
    <row r="13" spans="1:9" ht="14.25" x14ac:dyDescent="0.2">
      <c r="A13" s="42" t="s">
        <v>103</v>
      </c>
      <c r="B13" s="113">
        <v>29.86</v>
      </c>
      <c r="C13" s="113">
        <v>45.87</v>
      </c>
      <c r="D13" s="113">
        <v>57.81</v>
      </c>
      <c r="E13" s="113">
        <v>35.270000000000003</v>
      </c>
      <c r="F13" s="113">
        <v>58.26</v>
      </c>
      <c r="G13" s="113">
        <v>39.25</v>
      </c>
      <c r="H13" s="113">
        <v>32.229999999999997</v>
      </c>
      <c r="I13" s="113">
        <v>30.07</v>
      </c>
    </row>
    <row r="14" spans="1:9" ht="14.25" x14ac:dyDescent="0.2">
      <c r="A14" s="42" t="s">
        <v>119</v>
      </c>
      <c r="B14" s="113">
        <v>32.549999999999997</v>
      </c>
      <c r="C14" s="113">
        <v>40.92</v>
      </c>
      <c r="D14" s="113">
        <v>53.54</v>
      </c>
      <c r="E14" s="113">
        <v>38.729999999999997</v>
      </c>
      <c r="F14" s="113">
        <v>66.73</v>
      </c>
      <c r="G14" s="113">
        <v>37.43</v>
      </c>
      <c r="H14" s="113">
        <v>33.07</v>
      </c>
      <c r="I14" s="113">
        <v>34.75</v>
      </c>
    </row>
    <row r="15" spans="1:9" ht="16.5" x14ac:dyDescent="0.2">
      <c r="A15" s="42" t="s">
        <v>145</v>
      </c>
      <c r="B15" s="113">
        <v>30.04</v>
      </c>
      <c r="C15" s="113">
        <v>31.87</v>
      </c>
      <c r="D15" s="113">
        <v>54.57</v>
      </c>
      <c r="E15" s="113">
        <v>38.270000000000003</v>
      </c>
      <c r="F15" s="113">
        <v>66.72</v>
      </c>
      <c r="G15" s="113">
        <v>30.35</v>
      </c>
      <c r="H15" s="113">
        <v>34.159999999999997</v>
      </c>
      <c r="I15" s="113">
        <v>31.21</v>
      </c>
    </row>
    <row r="16" spans="1:9" ht="16.5" x14ac:dyDescent="0.2">
      <c r="A16" s="42" t="s">
        <v>167</v>
      </c>
      <c r="B16" s="114" t="s">
        <v>169</v>
      </c>
      <c r="C16" s="114" t="s">
        <v>170</v>
      </c>
      <c r="D16" s="114" t="s">
        <v>183</v>
      </c>
      <c r="E16" s="114" t="s">
        <v>171</v>
      </c>
      <c r="F16" s="114" t="s">
        <v>172</v>
      </c>
      <c r="G16" s="114" t="s">
        <v>198</v>
      </c>
      <c r="H16" s="114" t="s">
        <v>173</v>
      </c>
      <c r="I16" s="114" t="s">
        <v>177</v>
      </c>
    </row>
    <row r="17" spans="1:15" ht="14.25" x14ac:dyDescent="0.2">
      <c r="A17" s="42"/>
      <c r="B17" s="58"/>
      <c r="C17" s="116"/>
      <c r="D17" s="125"/>
      <c r="E17" s="125"/>
      <c r="F17" s="125"/>
      <c r="G17" s="125"/>
      <c r="H17" s="42"/>
      <c r="I17" s="42"/>
    </row>
    <row r="18" spans="1:15" ht="14.25" x14ac:dyDescent="0.2">
      <c r="A18" s="42" t="s">
        <v>121</v>
      </c>
      <c r="B18" s="113"/>
      <c r="C18" s="113"/>
      <c r="D18" s="113"/>
      <c r="E18" s="113"/>
      <c r="F18" s="113"/>
      <c r="G18" s="113"/>
      <c r="H18" s="113"/>
      <c r="I18" s="113"/>
    </row>
    <row r="19" spans="1:15" ht="14.25" x14ac:dyDescent="0.2">
      <c r="A19" s="42" t="s">
        <v>58</v>
      </c>
      <c r="B19" s="113">
        <v>32.35</v>
      </c>
      <c r="C19" s="113">
        <v>37.06</v>
      </c>
      <c r="D19" s="113">
        <v>56</v>
      </c>
      <c r="E19" s="113">
        <v>39.06</v>
      </c>
      <c r="F19" s="113">
        <v>65.44</v>
      </c>
      <c r="G19" s="113">
        <v>34.96</v>
      </c>
      <c r="H19" s="113">
        <v>36</v>
      </c>
      <c r="I19" s="113">
        <v>32.06</v>
      </c>
      <c r="K19" s="7"/>
      <c r="L19" s="7"/>
      <c r="M19" s="7"/>
      <c r="N19" s="7"/>
      <c r="O19" s="7"/>
    </row>
    <row r="20" spans="1:15" ht="14.25" x14ac:dyDescent="0.2">
      <c r="A20" s="42" t="s">
        <v>59</v>
      </c>
      <c r="B20" s="113">
        <v>33.43</v>
      </c>
      <c r="C20" s="113">
        <v>37</v>
      </c>
      <c r="D20" s="113">
        <v>55.5</v>
      </c>
      <c r="E20" s="113">
        <v>39.69</v>
      </c>
      <c r="F20" s="113">
        <v>65</v>
      </c>
      <c r="G20" s="113">
        <v>34.46</v>
      </c>
      <c r="H20" s="113">
        <v>38.17</v>
      </c>
      <c r="I20" s="113">
        <v>33.44</v>
      </c>
      <c r="K20" s="7"/>
      <c r="L20" s="7"/>
      <c r="M20" s="7"/>
      <c r="N20" s="7"/>
      <c r="O20" s="7"/>
    </row>
    <row r="21" spans="1:15" ht="14.25" x14ac:dyDescent="0.2">
      <c r="A21" s="42" t="s">
        <v>60</v>
      </c>
      <c r="B21" s="113">
        <v>32.270000000000003</v>
      </c>
      <c r="C21" s="113">
        <v>34.25</v>
      </c>
      <c r="D21" s="113">
        <v>54.8</v>
      </c>
      <c r="E21" s="113">
        <v>38.65</v>
      </c>
      <c r="F21" s="113">
        <v>65.2</v>
      </c>
      <c r="G21" s="113">
        <v>33.96</v>
      </c>
      <c r="H21" s="113">
        <v>37</v>
      </c>
      <c r="I21" s="113">
        <v>31.63</v>
      </c>
    </row>
    <row r="22" spans="1:15" ht="14.25" x14ac:dyDescent="0.2">
      <c r="A22" s="42" t="s">
        <v>61</v>
      </c>
      <c r="B22" s="113">
        <v>31.61</v>
      </c>
      <c r="C22" s="113">
        <v>32.75</v>
      </c>
      <c r="D22" s="113">
        <v>55.5</v>
      </c>
      <c r="E22" s="113">
        <v>38.31</v>
      </c>
      <c r="F22" s="113">
        <v>66.13</v>
      </c>
      <c r="G22" s="113">
        <v>30.68</v>
      </c>
      <c r="H22" s="113">
        <v>32.08</v>
      </c>
      <c r="I22" s="113" t="s">
        <v>10</v>
      </c>
    </row>
    <row r="23" spans="1:15" ht="14.25" x14ac:dyDescent="0.2">
      <c r="A23" s="42" t="s">
        <v>62</v>
      </c>
      <c r="B23" s="113">
        <v>30.63</v>
      </c>
      <c r="C23" s="113">
        <v>31.44</v>
      </c>
      <c r="D23" s="113">
        <v>55</v>
      </c>
      <c r="E23" s="113">
        <v>37.44</v>
      </c>
      <c r="F23" s="113">
        <v>66.63</v>
      </c>
      <c r="G23" s="113">
        <v>29.72</v>
      </c>
      <c r="H23" s="113">
        <v>32.200000000000003</v>
      </c>
      <c r="I23" s="113">
        <v>31</v>
      </c>
    </row>
    <row r="24" spans="1:15" ht="14.25" x14ac:dyDescent="0.2">
      <c r="A24" s="42" t="s">
        <v>63</v>
      </c>
      <c r="B24" s="113">
        <v>30.28</v>
      </c>
      <c r="C24" s="113">
        <v>31.35</v>
      </c>
      <c r="D24" s="113">
        <v>54</v>
      </c>
      <c r="E24" s="113">
        <v>37.1</v>
      </c>
      <c r="F24" s="113">
        <v>67</v>
      </c>
      <c r="G24" s="113">
        <v>29.66</v>
      </c>
      <c r="H24" s="113" t="s">
        <v>10</v>
      </c>
      <c r="I24" s="113" t="s">
        <v>10</v>
      </c>
    </row>
    <row r="25" spans="1:15" ht="14.25" x14ac:dyDescent="0.2">
      <c r="A25" s="42" t="s">
        <v>64</v>
      </c>
      <c r="B25" s="113">
        <v>29.7</v>
      </c>
      <c r="C25" s="113">
        <v>31.19</v>
      </c>
      <c r="D25" s="113">
        <v>54</v>
      </c>
      <c r="E25" s="113">
        <v>37.31</v>
      </c>
      <c r="F25" s="113">
        <v>66.88</v>
      </c>
      <c r="G25" s="113">
        <v>29.5</v>
      </c>
      <c r="H25" s="113" t="s">
        <v>10</v>
      </c>
      <c r="I25" s="113">
        <v>29.5</v>
      </c>
    </row>
    <row r="26" spans="1:15" ht="14.25" x14ac:dyDescent="0.2">
      <c r="A26" s="42" t="s">
        <v>65</v>
      </c>
      <c r="B26" s="113">
        <v>29.4</v>
      </c>
      <c r="C26" s="113">
        <v>31.25</v>
      </c>
      <c r="D26" s="113">
        <v>54</v>
      </c>
      <c r="E26" s="113">
        <v>38.25</v>
      </c>
      <c r="F26" s="113">
        <v>66.5</v>
      </c>
      <c r="G26" s="113">
        <v>29.65</v>
      </c>
      <c r="H26" s="113" t="s">
        <v>10</v>
      </c>
      <c r="I26" s="113">
        <v>29</v>
      </c>
    </row>
    <row r="27" spans="1:15" ht="14.25" x14ac:dyDescent="0.2">
      <c r="A27" s="42" t="s">
        <v>66</v>
      </c>
      <c r="B27" s="113">
        <v>28.3</v>
      </c>
      <c r="C27" s="113">
        <v>29.9</v>
      </c>
      <c r="D27" s="113">
        <v>54</v>
      </c>
      <c r="E27" s="113">
        <v>37.75</v>
      </c>
      <c r="F27" s="113">
        <v>67.7</v>
      </c>
      <c r="G27" s="113">
        <v>29.54</v>
      </c>
      <c r="H27" s="113">
        <v>32.5</v>
      </c>
      <c r="I27" s="113">
        <v>30</v>
      </c>
    </row>
    <row r="28" spans="1:15" ht="14.25" x14ac:dyDescent="0.2">
      <c r="A28" s="42" t="s">
        <v>68</v>
      </c>
      <c r="B28" s="113">
        <v>27.21</v>
      </c>
      <c r="C28" s="113">
        <v>28.75</v>
      </c>
      <c r="D28" s="113">
        <v>54</v>
      </c>
      <c r="E28" s="113">
        <v>38.69</v>
      </c>
      <c r="F28" s="113">
        <v>68</v>
      </c>
      <c r="G28" s="113">
        <v>28.76</v>
      </c>
      <c r="H28" s="113" t="s">
        <v>10</v>
      </c>
      <c r="I28" s="113">
        <v>32.47</v>
      </c>
    </row>
    <row r="29" spans="1:15" ht="14.25" x14ac:dyDescent="0.2">
      <c r="A29" s="42" t="s">
        <v>69</v>
      </c>
      <c r="B29" s="113">
        <v>27.6</v>
      </c>
      <c r="C29" s="113">
        <v>28.6</v>
      </c>
      <c r="D29" s="113">
        <v>54</v>
      </c>
      <c r="E29" s="113">
        <v>38.75</v>
      </c>
      <c r="F29" s="113">
        <v>68</v>
      </c>
      <c r="G29" s="113">
        <v>26.8</v>
      </c>
      <c r="H29" s="113">
        <v>32.380000000000003</v>
      </c>
      <c r="I29" s="113">
        <v>32</v>
      </c>
    </row>
    <row r="30" spans="1:15" ht="14.25" x14ac:dyDescent="0.2">
      <c r="A30" s="42" t="s">
        <v>71</v>
      </c>
      <c r="B30" s="113">
        <v>27.73</v>
      </c>
      <c r="C30" s="113">
        <v>28.88</v>
      </c>
      <c r="D30" s="113">
        <v>54</v>
      </c>
      <c r="E30" s="113">
        <v>38.19</v>
      </c>
      <c r="F30" s="113">
        <v>67.63</v>
      </c>
      <c r="G30" s="113">
        <v>26.46</v>
      </c>
      <c r="H30" s="113">
        <v>32.93</v>
      </c>
      <c r="I30" s="113">
        <v>31</v>
      </c>
    </row>
    <row r="31" spans="1:15" ht="14.25" x14ac:dyDescent="0.2">
      <c r="A31" s="45"/>
      <c r="B31" s="113"/>
      <c r="C31" s="113"/>
      <c r="D31" s="113"/>
      <c r="E31" s="113"/>
      <c r="F31" s="113"/>
      <c r="G31" s="113"/>
      <c r="H31" s="113"/>
      <c r="I31" s="113"/>
    </row>
    <row r="32" spans="1:15" ht="14.25" x14ac:dyDescent="0.2">
      <c r="A32" s="42" t="s">
        <v>182</v>
      </c>
      <c r="B32" s="113"/>
      <c r="C32" s="113"/>
      <c r="D32" s="113"/>
      <c r="E32" s="113"/>
      <c r="F32" s="113"/>
      <c r="G32" s="113"/>
      <c r="H32" s="113"/>
      <c r="I32" s="113"/>
    </row>
    <row r="33" spans="1:9" ht="14.25" x14ac:dyDescent="0.2">
      <c r="A33" s="41" t="s">
        <v>58</v>
      </c>
      <c r="B33" s="119">
        <v>28.89</v>
      </c>
      <c r="C33" s="119">
        <v>30.56</v>
      </c>
      <c r="D33" s="119">
        <v>54</v>
      </c>
      <c r="E33" s="119">
        <v>38.94</v>
      </c>
      <c r="F33" s="119">
        <v>66.63</v>
      </c>
      <c r="G33" s="119">
        <v>27.18</v>
      </c>
      <c r="H33" s="119">
        <v>33</v>
      </c>
      <c r="I33" s="119">
        <v>31.29</v>
      </c>
    </row>
    <row r="34" spans="1:9" ht="16.5" x14ac:dyDescent="0.2">
      <c r="A34" s="88" t="s">
        <v>164</v>
      </c>
      <c r="B34" s="126"/>
      <c r="C34" s="126"/>
      <c r="D34" s="126"/>
      <c r="E34" s="126"/>
      <c r="F34" s="126"/>
      <c r="G34" s="126"/>
      <c r="H34" s="126"/>
      <c r="I34" s="126"/>
    </row>
    <row r="35" spans="1:9" ht="16.5" x14ac:dyDescent="0.2">
      <c r="A35" s="42" t="s">
        <v>165</v>
      </c>
      <c r="B35" s="126"/>
      <c r="C35" s="126"/>
      <c r="D35" s="126"/>
      <c r="E35" s="126"/>
      <c r="F35" s="126"/>
      <c r="G35" s="126"/>
      <c r="H35" s="126"/>
      <c r="I35" s="126"/>
    </row>
    <row r="36" spans="1:9" ht="14.25" x14ac:dyDescent="0.2">
      <c r="A36" s="42" t="s">
        <v>155</v>
      </c>
      <c r="B36" s="42"/>
      <c r="C36" s="42"/>
      <c r="D36" s="42"/>
      <c r="E36" s="42"/>
      <c r="F36" s="126"/>
      <c r="G36" s="42"/>
      <c r="H36" s="42"/>
      <c r="I36" s="42"/>
    </row>
    <row r="37" spans="1:9" ht="14.25" x14ac:dyDescent="0.2">
      <c r="A37" s="42" t="s">
        <v>26</v>
      </c>
      <c r="B37" s="80">
        <f ca="1">NOW()</f>
        <v>43417.408640856484</v>
      </c>
      <c r="C37" s="42"/>
      <c r="D37" s="42"/>
      <c r="E37" s="42"/>
      <c r="F37" s="42"/>
      <c r="G37" s="42"/>
      <c r="H37" s="42"/>
      <c r="I37" s="42"/>
    </row>
    <row r="38" spans="1:9" ht="15.75" x14ac:dyDescent="0.25">
      <c r="C38" s="14"/>
      <c r="G38" s="14"/>
      <c r="H38" s="14"/>
      <c r="I38" s="14"/>
    </row>
    <row r="39" spans="1:9" ht="15.75" x14ac:dyDescent="0.25">
      <c r="C39" s="14"/>
      <c r="G39" s="14"/>
      <c r="H39" s="14"/>
      <c r="I39" s="14"/>
    </row>
    <row r="40" spans="1:9" ht="15.75" x14ac:dyDescent="0.25">
      <c r="C40" s="14"/>
      <c r="G40" s="14"/>
      <c r="H40" s="14"/>
      <c r="I40" s="14"/>
    </row>
    <row r="41" spans="1:9" ht="15.75" x14ac:dyDescent="0.25">
      <c r="C41" s="14"/>
      <c r="G41" s="14"/>
      <c r="H41" s="14"/>
      <c r="I41" s="14"/>
    </row>
    <row r="42" spans="1:9" ht="15.75" x14ac:dyDescent="0.25">
      <c r="C42" s="14"/>
      <c r="G42" s="14"/>
      <c r="H42" s="14"/>
      <c r="I42" s="14"/>
    </row>
    <row r="43" spans="1:9" ht="15.75" x14ac:dyDescent="0.25">
      <c r="C43" s="14"/>
      <c r="G43" s="14"/>
      <c r="H43" s="14"/>
      <c r="I43" s="14"/>
    </row>
    <row r="44" spans="1:9" ht="15.75" x14ac:dyDescent="0.25">
      <c r="C44" s="14"/>
      <c r="G44" s="14"/>
      <c r="H44" s="14"/>
      <c r="I44" s="14"/>
    </row>
    <row r="45" spans="1:9" ht="15.75" x14ac:dyDescent="0.25">
      <c r="C45" s="14"/>
      <c r="G45" s="14"/>
      <c r="H45" s="14"/>
      <c r="I45" s="14"/>
    </row>
    <row r="46" spans="1:9" ht="15.75" x14ac:dyDescent="0.25">
      <c r="C46" s="14"/>
      <c r="G46" s="14"/>
      <c r="H46" s="14"/>
      <c r="I46" s="14"/>
    </row>
    <row r="47" spans="1:9" ht="15.75" x14ac:dyDescent="0.25">
      <c r="C47" s="14"/>
      <c r="G47" s="14"/>
      <c r="H47" s="14"/>
      <c r="I47" s="14"/>
    </row>
    <row r="48" spans="1:9" ht="15.75" x14ac:dyDescent="0.25">
      <c r="C48" s="14"/>
      <c r="G48" s="14"/>
      <c r="H48" s="14"/>
      <c r="I48" s="14"/>
    </row>
    <row r="49" spans="3:9" ht="15.75" x14ac:dyDescent="0.25">
      <c r="C49" s="14"/>
      <c r="G49" s="14"/>
      <c r="H49" s="14"/>
      <c r="I49" s="14"/>
    </row>
    <row r="50" spans="3:9" ht="15.75" x14ac:dyDescent="0.25">
      <c r="C50" s="14"/>
      <c r="G50" s="14"/>
      <c r="H50" s="14"/>
      <c r="I50" s="14"/>
    </row>
    <row r="51" spans="3:9" ht="15.75" x14ac:dyDescent="0.25">
      <c r="C51" s="14"/>
      <c r="G51" s="14"/>
      <c r="H51" s="14"/>
      <c r="I51" s="14"/>
    </row>
    <row r="52" spans="3:9" ht="15.75" x14ac:dyDescent="0.25">
      <c r="C52" s="14"/>
      <c r="G52" s="14"/>
      <c r="H52" s="14"/>
      <c r="I52" s="14"/>
    </row>
    <row r="53" spans="3:9" ht="15.75" x14ac:dyDescent="0.25">
      <c r="C53" s="14"/>
      <c r="G53" s="14"/>
      <c r="H53" s="14"/>
      <c r="I53" s="14"/>
    </row>
    <row r="54" spans="3:9" ht="15.75" x14ac:dyDescent="0.25">
      <c r="C54" s="14"/>
      <c r="H54" s="14"/>
      <c r="I54" s="14"/>
    </row>
    <row r="55" spans="3:9" ht="15.75" x14ac:dyDescent="0.25">
      <c r="C55" s="14"/>
      <c r="H55" s="14"/>
      <c r="I55" s="14"/>
    </row>
    <row r="56" spans="3:9" ht="15.75" x14ac:dyDescent="0.25">
      <c r="C56" s="14"/>
      <c r="F56" s="16"/>
      <c r="H56" s="14"/>
      <c r="I56" s="14"/>
    </row>
    <row r="57" spans="3:9" ht="15.75" x14ac:dyDescent="0.25">
      <c r="F57" s="16"/>
      <c r="H57" s="14"/>
      <c r="I57" s="14"/>
    </row>
  </sheetData>
  <phoneticPr fontId="3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49"/>
  <sheetViews>
    <sheetView showGridLines="0" zoomScaleNormal="100" workbookViewId="0"/>
  </sheetViews>
  <sheetFormatPr defaultRowHeight="12.75" x14ac:dyDescent="0.2"/>
  <cols>
    <col min="1" max="1" width="11.7109375" customWidth="1"/>
    <col min="2" max="7" width="13.7109375" customWidth="1"/>
  </cols>
  <sheetData>
    <row r="1" spans="1:8" ht="14.25" x14ac:dyDescent="0.2">
      <c r="A1" s="41" t="s">
        <v>43</v>
      </c>
      <c r="B1" s="41"/>
      <c r="C1" s="41"/>
      <c r="D1" s="41"/>
      <c r="E1" s="41"/>
      <c r="F1" s="41"/>
      <c r="G1" s="41"/>
    </row>
    <row r="2" spans="1:8" ht="15.6" customHeight="1" x14ac:dyDescent="0.2">
      <c r="A2" s="45" t="s">
        <v>15</v>
      </c>
      <c r="B2" s="89" t="s">
        <v>44</v>
      </c>
      <c r="C2" s="127" t="s">
        <v>17</v>
      </c>
      <c r="D2" s="127" t="s">
        <v>89</v>
      </c>
      <c r="E2" s="127" t="s">
        <v>45</v>
      </c>
      <c r="F2" s="89" t="s">
        <v>46</v>
      </c>
      <c r="G2" s="44" t="s">
        <v>47</v>
      </c>
    </row>
    <row r="3" spans="1:8" ht="15.6" customHeight="1" x14ac:dyDescent="0.2">
      <c r="A3" s="41" t="s">
        <v>16</v>
      </c>
      <c r="B3" s="49" t="s">
        <v>156</v>
      </c>
      <c r="C3" s="49" t="s">
        <v>157</v>
      </c>
      <c r="D3" s="49" t="s">
        <v>158</v>
      </c>
      <c r="E3" s="49" t="s">
        <v>159</v>
      </c>
      <c r="F3" s="49" t="s">
        <v>160</v>
      </c>
      <c r="G3" s="49" t="s">
        <v>161</v>
      </c>
    </row>
    <row r="4" spans="1:8" ht="14.25" x14ac:dyDescent="0.2">
      <c r="A4" s="42"/>
      <c r="B4" s="61" t="s">
        <v>109</v>
      </c>
      <c r="C4" s="124"/>
      <c r="D4" s="124"/>
      <c r="E4" s="124"/>
      <c r="F4" s="124"/>
      <c r="G4" s="124"/>
    </row>
    <row r="5" spans="1:8" ht="14.25" x14ac:dyDescent="0.2">
      <c r="A5" s="42"/>
      <c r="B5" s="42"/>
      <c r="C5" s="42"/>
      <c r="D5" s="42"/>
      <c r="E5" s="42"/>
      <c r="F5" s="42"/>
      <c r="G5" s="42"/>
    </row>
    <row r="6" spans="1:8" ht="14.25" x14ac:dyDescent="0.2">
      <c r="A6" s="42" t="s">
        <v>53</v>
      </c>
      <c r="B6" s="113">
        <v>331.17</v>
      </c>
      <c r="C6" s="113">
        <v>255.23</v>
      </c>
      <c r="D6" s="113">
        <v>152.46</v>
      </c>
      <c r="E6" s="128" t="s">
        <v>10</v>
      </c>
      <c r="F6" s="113">
        <v>248.82</v>
      </c>
      <c r="G6" s="113">
        <v>220.89</v>
      </c>
      <c r="H6" s="16"/>
    </row>
    <row r="7" spans="1:8" ht="14.25" x14ac:dyDescent="0.2">
      <c r="A7" s="42" t="s">
        <v>55</v>
      </c>
      <c r="B7" s="113">
        <v>311.27</v>
      </c>
      <c r="C7" s="113">
        <v>220.9</v>
      </c>
      <c r="D7" s="113">
        <v>151.04</v>
      </c>
      <c r="E7" s="128" t="s">
        <v>10</v>
      </c>
      <c r="F7" s="113">
        <v>224.92</v>
      </c>
      <c r="G7" s="113">
        <v>209.23</v>
      </c>
      <c r="H7" s="16"/>
    </row>
    <row r="8" spans="1:8" ht="14.25" x14ac:dyDescent="0.2">
      <c r="A8" s="42" t="s">
        <v>56</v>
      </c>
      <c r="B8" s="113">
        <v>345.52</v>
      </c>
      <c r="C8" s="113">
        <v>273.83999999999997</v>
      </c>
      <c r="D8" s="113">
        <v>219.72</v>
      </c>
      <c r="E8" s="128" t="s">
        <v>10</v>
      </c>
      <c r="F8" s="113">
        <v>263.63</v>
      </c>
      <c r="G8" s="113">
        <v>240.65</v>
      </c>
      <c r="H8" s="16"/>
    </row>
    <row r="9" spans="1:8" ht="14.25" x14ac:dyDescent="0.2">
      <c r="A9" s="42" t="s">
        <v>67</v>
      </c>
      <c r="B9" s="113">
        <v>393.53</v>
      </c>
      <c r="C9" s="113">
        <v>275.13</v>
      </c>
      <c r="D9" s="113">
        <v>246.75</v>
      </c>
      <c r="E9" s="128" t="s">
        <v>10</v>
      </c>
      <c r="F9" s="113">
        <v>307.58999999999997</v>
      </c>
      <c r="G9" s="113">
        <v>265.68</v>
      </c>
      <c r="H9" s="16"/>
    </row>
    <row r="10" spans="1:8" ht="14.25" x14ac:dyDescent="0.2">
      <c r="A10" s="42" t="s">
        <v>91</v>
      </c>
      <c r="B10" s="113">
        <v>468.11</v>
      </c>
      <c r="C10" s="113">
        <v>331.52</v>
      </c>
      <c r="D10" s="113">
        <v>241.57</v>
      </c>
      <c r="E10" s="128" t="s">
        <v>10</v>
      </c>
      <c r="F10" s="113">
        <v>354.22</v>
      </c>
      <c r="G10" s="113">
        <v>329.31</v>
      </c>
      <c r="H10" s="16"/>
    </row>
    <row r="11" spans="1:8" ht="14.25" x14ac:dyDescent="0.2">
      <c r="A11" s="42" t="s">
        <v>99</v>
      </c>
      <c r="B11" s="113">
        <v>489.94</v>
      </c>
      <c r="C11" s="113">
        <v>377.71</v>
      </c>
      <c r="D11" s="113">
        <v>238.87</v>
      </c>
      <c r="E11" s="128" t="s">
        <v>10</v>
      </c>
      <c r="F11" s="113">
        <v>359.7</v>
      </c>
      <c r="G11" s="113">
        <v>337.23</v>
      </c>
      <c r="H11" s="16"/>
    </row>
    <row r="12" spans="1:8" ht="14.25" x14ac:dyDescent="0.2">
      <c r="A12" s="42" t="s">
        <v>102</v>
      </c>
      <c r="B12" s="113">
        <v>368.49</v>
      </c>
      <c r="C12" s="113">
        <v>304.27</v>
      </c>
      <c r="D12" s="113">
        <v>209.97</v>
      </c>
      <c r="E12" s="128" t="s">
        <v>10</v>
      </c>
      <c r="F12" s="113">
        <v>301.2</v>
      </c>
      <c r="G12" s="113">
        <v>256.58</v>
      </c>
      <c r="H12" s="16"/>
    </row>
    <row r="13" spans="1:8" ht="14.25" x14ac:dyDescent="0.2">
      <c r="A13" s="42" t="s">
        <v>103</v>
      </c>
      <c r="B13" s="113">
        <v>324.56</v>
      </c>
      <c r="C13" s="113">
        <v>261.19</v>
      </c>
      <c r="D13" s="113">
        <v>153.16999999999999</v>
      </c>
      <c r="E13" s="128" t="s">
        <v>10</v>
      </c>
      <c r="F13" s="113">
        <v>262.2</v>
      </c>
      <c r="G13" s="113">
        <v>260.23</v>
      </c>
    </row>
    <row r="14" spans="1:8" ht="14.25" x14ac:dyDescent="0.2">
      <c r="A14" s="42" t="s">
        <v>119</v>
      </c>
      <c r="B14" s="113">
        <v>316.88</v>
      </c>
      <c r="C14" s="113">
        <v>208.61</v>
      </c>
      <c r="D14" s="113">
        <v>145.1</v>
      </c>
      <c r="E14" s="128" t="s">
        <v>10</v>
      </c>
      <c r="F14" s="113">
        <v>267.94</v>
      </c>
      <c r="G14" s="113">
        <v>282.49</v>
      </c>
    </row>
    <row r="15" spans="1:8" ht="16.5" x14ac:dyDescent="0.2">
      <c r="A15" s="42" t="s">
        <v>145</v>
      </c>
      <c r="B15" s="113">
        <v>345.02</v>
      </c>
      <c r="C15" s="113">
        <v>260.88</v>
      </c>
      <c r="D15" s="113">
        <v>173.53</v>
      </c>
      <c r="E15" s="128" t="s">
        <v>10</v>
      </c>
      <c r="F15" s="113">
        <v>291.14999999999998</v>
      </c>
      <c r="G15" s="113">
        <v>239.15</v>
      </c>
    </row>
    <row r="16" spans="1:8" ht="16.5" x14ac:dyDescent="0.2">
      <c r="A16" s="42" t="s">
        <v>167</v>
      </c>
      <c r="B16" s="113" t="s">
        <v>175</v>
      </c>
      <c r="C16" s="113" t="s">
        <v>178</v>
      </c>
      <c r="D16" s="138" t="s">
        <v>179</v>
      </c>
      <c r="E16" s="128" t="s">
        <v>10</v>
      </c>
      <c r="F16" s="113" t="s">
        <v>176</v>
      </c>
      <c r="G16" s="113" t="s">
        <v>180</v>
      </c>
    </row>
    <row r="17" spans="1:13" ht="14.25" x14ac:dyDescent="0.2">
      <c r="A17" s="129"/>
      <c r="B17" s="113"/>
      <c r="C17" s="113"/>
      <c r="D17" s="113"/>
      <c r="E17" s="128"/>
      <c r="F17" s="113"/>
      <c r="G17" s="113"/>
      <c r="H17" s="13"/>
    </row>
    <row r="18" spans="1:13" ht="14.25" x14ac:dyDescent="0.2">
      <c r="A18" s="42" t="s">
        <v>121</v>
      </c>
      <c r="B18" s="113"/>
      <c r="C18" s="113"/>
      <c r="D18" s="113"/>
      <c r="E18" s="128"/>
      <c r="F18" s="113"/>
      <c r="G18" s="113"/>
      <c r="H18" s="13"/>
    </row>
    <row r="19" spans="1:13" ht="14.25" x14ac:dyDescent="0.2">
      <c r="A19" s="42" t="s">
        <v>58</v>
      </c>
      <c r="B19" s="113">
        <v>315.23</v>
      </c>
      <c r="C19" s="113">
        <v>229</v>
      </c>
      <c r="D19" s="113">
        <v>153</v>
      </c>
      <c r="E19" s="128" t="s">
        <v>10</v>
      </c>
      <c r="F19" s="113">
        <v>257.73</v>
      </c>
      <c r="G19" s="113">
        <v>214</v>
      </c>
      <c r="H19" s="13"/>
      <c r="I19" s="7"/>
      <c r="J19" s="7"/>
      <c r="K19" s="7"/>
      <c r="L19" s="7"/>
      <c r="M19" s="7"/>
    </row>
    <row r="20" spans="1:13" ht="14.25" x14ac:dyDescent="0.2">
      <c r="A20" s="42" t="s">
        <v>59</v>
      </c>
      <c r="B20" s="113">
        <v>313.52</v>
      </c>
      <c r="C20" s="113">
        <v>228.75</v>
      </c>
      <c r="D20" s="113">
        <v>165</v>
      </c>
      <c r="E20" s="128" t="s">
        <v>10</v>
      </c>
      <c r="F20" s="113">
        <v>255.74</v>
      </c>
      <c r="G20" s="113">
        <v>205</v>
      </c>
      <c r="H20" s="13"/>
      <c r="I20" s="7"/>
      <c r="J20" s="7"/>
      <c r="K20" s="7"/>
      <c r="L20" s="7"/>
      <c r="M20" s="7"/>
    </row>
    <row r="21" spans="1:13" ht="14.25" x14ac:dyDescent="0.2">
      <c r="A21" s="42" t="s">
        <v>60</v>
      </c>
      <c r="B21" s="113">
        <v>319.22000000000003</v>
      </c>
      <c r="C21" s="113">
        <v>232.5</v>
      </c>
      <c r="D21" s="113">
        <v>185</v>
      </c>
      <c r="E21" s="128" t="s">
        <v>10</v>
      </c>
      <c r="F21" s="113">
        <v>266.52999999999997</v>
      </c>
      <c r="G21" s="113">
        <v>209.17</v>
      </c>
      <c r="H21" s="13"/>
    </row>
    <row r="22" spans="1:13" ht="14.25" x14ac:dyDescent="0.2">
      <c r="A22" s="42" t="s">
        <v>61</v>
      </c>
      <c r="B22" s="113">
        <v>322.60000000000002</v>
      </c>
      <c r="C22" s="113">
        <v>259</v>
      </c>
      <c r="D22" s="113">
        <v>178</v>
      </c>
      <c r="E22" s="128" t="s">
        <v>10</v>
      </c>
      <c r="F22" s="113">
        <v>270.2</v>
      </c>
      <c r="G22" s="113">
        <v>215.5</v>
      </c>
      <c r="H22" s="13"/>
    </row>
    <row r="23" spans="1:13" ht="14.25" x14ac:dyDescent="0.2">
      <c r="A23" s="42" t="s">
        <v>62</v>
      </c>
      <c r="B23" s="113">
        <v>362.85</v>
      </c>
      <c r="C23" s="113">
        <v>303.13</v>
      </c>
      <c r="D23" s="113">
        <v>185.63</v>
      </c>
      <c r="E23" s="128" t="s">
        <v>10</v>
      </c>
      <c r="F23" s="113">
        <v>315.95</v>
      </c>
      <c r="G23" s="113">
        <v>233.13</v>
      </c>
      <c r="H23" s="13"/>
    </row>
    <row r="24" spans="1:13" ht="14.25" x14ac:dyDescent="0.2">
      <c r="A24" s="42" t="s">
        <v>63</v>
      </c>
      <c r="B24" s="113">
        <v>379.85</v>
      </c>
      <c r="C24" s="113">
        <v>323.13</v>
      </c>
      <c r="D24" s="113">
        <v>187.5</v>
      </c>
      <c r="E24" s="128" t="s">
        <v>10</v>
      </c>
      <c r="F24" s="113">
        <v>334.58</v>
      </c>
      <c r="G24" s="113">
        <v>237.5</v>
      </c>
      <c r="H24" s="13"/>
    </row>
    <row r="25" spans="1:13" ht="14.25" x14ac:dyDescent="0.2">
      <c r="A25" s="42" t="s">
        <v>64</v>
      </c>
      <c r="B25" s="113">
        <v>385.84</v>
      </c>
      <c r="C25" s="113">
        <v>263.13</v>
      </c>
      <c r="D25" s="113">
        <v>191.88</v>
      </c>
      <c r="E25" s="128" t="s">
        <v>10</v>
      </c>
      <c r="F25" s="113">
        <v>332.16</v>
      </c>
      <c r="G25" s="113">
        <v>238.13</v>
      </c>
      <c r="H25" s="13"/>
    </row>
    <row r="26" spans="1:13" ht="14.25" x14ac:dyDescent="0.2">
      <c r="A26" s="42" t="s">
        <v>65</v>
      </c>
      <c r="B26" s="113">
        <v>393.55</v>
      </c>
      <c r="C26" s="113">
        <v>262.5</v>
      </c>
      <c r="D26" s="113">
        <v>201.5</v>
      </c>
      <c r="E26" s="128" t="s">
        <v>10</v>
      </c>
      <c r="F26" s="113">
        <v>336.93</v>
      </c>
      <c r="G26" s="113">
        <v>267.5</v>
      </c>
      <c r="H26" s="13"/>
    </row>
    <row r="27" spans="1:13" ht="14.25" x14ac:dyDescent="0.2">
      <c r="A27" s="42" t="s">
        <v>66</v>
      </c>
      <c r="B27" s="113">
        <v>355.71</v>
      </c>
      <c r="C27" s="113">
        <v>257.5</v>
      </c>
      <c r="D27" s="113">
        <v>175.63</v>
      </c>
      <c r="E27" s="128" t="s">
        <v>10</v>
      </c>
      <c r="F27" s="113">
        <v>302.75</v>
      </c>
      <c r="G27" s="113">
        <v>271.25</v>
      </c>
      <c r="H27" s="13"/>
    </row>
    <row r="28" spans="1:13" ht="14.25" x14ac:dyDescent="0.2">
      <c r="A28" s="42" t="s">
        <v>68</v>
      </c>
      <c r="B28" s="113">
        <v>341.08</v>
      </c>
      <c r="C28" s="113">
        <v>253.13</v>
      </c>
      <c r="D28" s="113">
        <v>155.5</v>
      </c>
      <c r="E28" s="128" t="s">
        <v>10</v>
      </c>
      <c r="F28" s="113">
        <v>279.83999999999997</v>
      </c>
      <c r="G28" s="113">
        <v>278</v>
      </c>
      <c r="H28" s="13"/>
    </row>
    <row r="29" spans="1:13" ht="14.25" x14ac:dyDescent="0.2">
      <c r="A29" s="42" t="s">
        <v>69</v>
      </c>
      <c r="B29" s="113">
        <v>332.5</v>
      </c>
      <c r="C29" s="113">
        <v>260</v>
      </c>
      <c r="D29" s="113">
        <v>153.13</v>
      </c>
      <c r="E29" s="128" t="s">
        <v>10</v>
      </c>
      <c r="F29" s="113">
        <v>274.55</v>
      </c>
      <c r="G29" s="113">
        <v>265.63</v>
      </c>
      <c r="H29" s="13"/>
    </row>
    <row r="30" spans="1:13" ht="14.25" x14ac:dyDescent="0.2">
      <c r="A30" s="42" t="s">
        <v>71</v>
      </c>
      <c r="B30" s="113">
        <v>318.32</v>
      </c>
      <c r="C30" s="113">
        <v>258.75</v>
      </c>
      <c r="D30" s="113">
        <v>150.63</v>
      </c>
      <c r="E30" s="128" t="s">
        <v>10</v>
      </c>
      <c r="F30" s="113">
        <v>266.86</v>
      </c>
      <c r="G30" s="113">
        <v>235</v>
      </c>
      <c r="H30" s="13"/>
    </row>
    <row r="31" spans="1:13" ht="14.25" x14ac:dyDescent="0.2">
      <c r="A31" s="129"/>
      <c r="B31" s="113"/>
      <c r="C31" s="113"/>
      <c r="D31" s="113"/>
      <c r="E31" s="128"/>
      <c r="F31" s="113"/>
      <c r="G31" s="113"/>
      <c r="I31" s="6"/>
      <c r="J31" s="6"/>
      <c r="K31" s="6"/>
      <c r="L31" s="6"/>
      <c r="M31" s="6"/>
    </row>
    <row r="32" spans="1:13" ht="14.25" x14ac:dyDescent="0.2">
      <c r="A32" s="42" t="s">
        <v>182</v>
      </c>
      <c r="B32" s="113"/>
      <c r="C32" s="113"/>
      <c r="D32" s="113"/>
      <c r="E32" s="128"/>
      <c r="F32" s="113"/>
      <c r="G32" s="113"/>
      <c r="I32" s="6"/>
      <c r="J32" s="6"/>
      <c r="K32" s="6"/>
      <c r="L32" s="6"/>
      <c r="M32" s="6"/>
    </row>
    <row r="33" spans="1:13" ht="14.25" x14ac:dyDescent="0.2">
      <c r="A33" s="130" t="s">
        <v>58</v>
      </c>
      <c r="B33" s="119">
        <v>319.14999999999998</v>
      </c>
      <c r="C33" s="119">
        <v>249</v>
      </c>
      <c r="D33" s="119">
        <v>164</v>
      </c>
      <c r="E33" s="131" t="s">
        <v>10</v>
      </c>
      <c r="F33" s="119">
        <v>279.39999999999998</v>
      </c>
      <c r="G33" s="119">
        <v>196.5</v>
      </c>
      <c r="I33" s="6"/>
      <c r="J33" s="6"/>
      <c r="K33" s="6"/>
      <c r="L33" s="6"/>
      <c r="M33" s="6"/>
    </row>
    <row r="34" spans="1:13" ht="16.5" x14ac:dyDescent="0.2">
      <c r="A34" s="88" t="s">
        <v>166</v>
      </c>
      <c r="B34" s="132"/>
      <c r="C34" s="132"/>
      <c r="D34" s="132"/>
      <c r="E34" s="132"/>
      <c r="F34" s="132"/>
      <c r="G34" s="132"/>
      <c r="I34" s="11"/>
      <c r="J34" s="6"/>
      <c r="K34" s="6"/>
      <c r="L34" s="6"/>
      <c r="M34" s="6"/>
    </row>
    <row r="35" spans="1:13" ht="16.5" x14ac:dyDescent="0.2">
      <c r="A35" s="88" t="s">
        <v>162</v>
      </c>
      <c r="B35" s="133"/>
      <c r="C35" s="133"/>
      <c r="D35" s="133"/>
      <c r="E35" s="133"/>
      <c r="F35" s="133"/>
      <c r="G35" s="133"/>
      <c r="I35" s="11"/>
      <c r="J35" s="6"/>
      <c r="K35" s="6"/>
      <c r="L35" s="6"/>
      <c r="M35" s="6"/>
    </row>
    <row r="36" spans="1:13" ht="14.25" x14ac:dyDescent="0.2">
      <c r="A36" s="42" t="s">
        <v>90</v>
      </c>
      <c r="B36" s="133"/>
      <c r="C36" s="133"/>
      <c r="D36" s="133"/>
      <c r="E36" s="133"/>
      <c r="F36" s="133"/>
      <c r="G36" s="133"/>
      <c r="H36" s="1"/>
      <c r="I36" s="11"/>
      <c r="J36" s="6"/>
      <c r="K36" s="6"/>
      <c r="L36" s="6"/>
      <c r="M36" s="6"/>
    </row>
    <row r="37" spans="1:13" ht="14.25" x14ac:dyDescent="0.2">
      <c r="A37" s="42" t="s">
        <v>163</v>
      </c>
      <c r="B37" s="42"/>
      <c r="C37" s="42"/>
      <c r="D37" s="42"/>
      <c r="E37" s="42"/>
      <c r="F37" s="42"/>
      <c r="G37" s="42"/>
      <c r="I37" s="11"/>
      <c r="J37" s="6"/>
      <c r="K37" s="6"/>
      <c r="L37" s="6"/>
      <c r="M37" s="6"/>
    </row>
    <row r="38" spans="1:13" ht="14.25" x14ac:dyDescent="0.2">
      <c r="A38" s="42" t="s">
        <v>26</v>
      </c>
      <c r="B38" s="80">
        <f ca="1">NOW()</f>
        <v>43417.408640856484</v>
      </c>
      <c r="C38" s="42"/>
      <c r="D38" s="42"/>
      <c r="E38" s="42"/>
      <c r="F38" s="42"/>
      <c r="G38" s="42"/>
      <c r="I38" s="12"/>
      <c r="J38" s="8"/>
      <c r="K38" s="8"/>
      <c r="L38" s="8"/>
      <c r="M38" s="8"/>
    </row>
    <row r="39" spans="1:13" ht="15.75" x14ac:dyDescent="0.25">
      <c r="F39" s="14"/>
      <c r="I39" s="12"/>
      <c r="J39" s="8"/>
      <c r="K39" s="8"/>
      <c r="L39" s="8"/>
      <c r="M39" s="8"/>
    </row>
    <row r="40" spans="1:13" x14ac:dyDescent="0.2">
      <c r="I40" s="11"/>
      <c r="J40" s="11"/>
      <c r="K40" s="6"/>
      <c r="L40" s="6"/>
      <c r="M40" s="6"/>
    </row>
    <row r="41" spans="1:13" x14ac:dyDescent="0.2">
      <c r="I41" s="11"/>
      <c r="J41" s="11"/>
      <c r="K41" s="6"/>
      <c r="L41" s="6"/>
      <c r="M41" s="6"/>
    </row>
    <row r="42" spans="1:13" x14ac:dyDescent="0.2">
      <c r="I42" s="11"/>
      <c r="J42" s="11"/>
      <c r="K42" s="6"/>
      <c r="L42" s="6"/>
      <c r="M42" s="6"/>
    </row>
    <row r="43" spans="1:13" x14ac:dyDescent="0.2">
      <c r="I43" s="11"/>
      <c r="J43" s="11"/>
      <c r="K43" s="6"/>
      <c r="L43" s="6"/>
      <c r="M43" s="6"/>
    </row>
    <row r="44" spans="1:13" x14ac:dyDescent="0.2">
      <c r="I44" s="11"/>
      <c r="J44" s="11"/>
      <c r="K44" s="6"/>
      <c r="L44" s="6"/>
      <c r="M44" s="6"/>
    </row>
    <row r="45" spans="1:13" x14ac:dyDescent="0.2">
      <c r="I45" s="11"/>
      <c r="J45" s="11"/>
      <c r="K45" s="6"/>
      <c r="L45" s="6"/>
      <c r="M45" s="6"/>
    </row>
    <row r="47" spans="1:13" x14ac:dyDescent="0.2">
      <c r="I47" s="9"/>
      <c r="J47" s="9"/>
      <c r="K47" s="9"/>
      <c r="L47" s="9"/>
      <c r="M47" s="9"/>
    </row>
    <row r="48" spans="1:13" x14ac:dyDescent="0.2">
      <c r="I48" s="9"/>
      <c r="J48" s="9"/>
      <c r="K48" s="9"/>
      <c r="L48" s="9"/>
      <c r="M48" s="9"/>
    </row>
    <row r="49" spans="10:10" x14ac:dyDescent="0.2">
      <c r="J49" s="9"/>
    </row>
  </sheetData>
  <phoneticPr fontId="3" type="noConversion"/>
  <pageMargins left="0.75" right="0.75" top="1" bottom="1" header="0.5" footer="0.5"/>
  <pageSetup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218"/>
  <sheetViews>
    <sheetView workbookViewId="0">
      <selection activeCell="A13" sqref="A13"/>
    </sheetView>
  </sheetViews>
  <sheetFormatPr defaultRowHeight="12.75" x14ac:dyDescent="0.2"/>
  <cols>
    <col min="1" max="1" width="10.7109375" style="1" customWidth="1"/>
    <col min="2" max="3" width="10.7109375" style="16" bestFit="1" customWidth="1"/>
  </cols>
  <sheetData>
    <row r="1" spans="1:5" ht="15.75" x14ac:dyDescent="0.25">
      <c r="A1" s="145" t="s">
        <v>185</v>
      </c>
      <c r="B1" s="142"/>
      <c r="C1" s="142"/>
      <c r="D1" s="142"/>
      <c r="E1" s="142"/>
    </row>
    <row r="2" spans="1:5" ht="15.75" x14ac:dyDescent="0.25">
      <c r="A2" s="146" t="s">
        <v>186</v>
      </c>
      <c r="B2" s="143" t="s">
        <v>187</v>
      </c>
      <c r="C2" s="143" t="s">
        <v>188</v>
      </c>
      <c r="D2" s="141"/>
      <c r="E2" s="141"/>
    </row>
    <row r="3" spans="1:5" x14ac:dyDescent="0.2">
      <c r="A3" s="141"/>
      <c r="B3" s="144" t="s">
        <v>181</v>
      </c>
      <c r="C3" s="144"/>
      <c r="D3" s="141"/>
      <c r="E3" s="141"/>
    </row>
    <row r="4" spans="1:5" ht="14.25" x14ac:dyDescent="0.2">
      <c r="A4" s="42" t="s">
        <v>56</v>
      </c>
      <c r="B4" s="147">
        <f>17600.7*2.204622/60</f>
        <v>646.71484059000011</v>
      </c>
      <c r="C4" s="147">
        <f>28931.2*2.204622/60-B4</f>
        <v>416.32449284999996</v>
      </c>
      <c r="D4" s="147"/>
      <c r="E4" s="147"/>
    </row>
    <row r="5" spans="1:5" ht="14.25" x14ac:dyDescent="0.2">
      <c r="A5" s="42" t="s">
        <v>67</v>
      </c>
      <c r="B5" s="147">
        <f>13303.3*2.204622/60</f>
        <v>488.81246420999997</v>
      </c>
      <c r="C5" s="147">
        <f>19125.8*2.204622/60-B5</f>
        <v>213.94019325000005</v>
      </c>
      <c r="D5" s="147"/>
      <c r="E5" s="147"/>
    </row>
    <row r="6" spans="1:5" ht="14.25" x14ac:dyDescent="0.2">
      <c r="A6" s="42" t="s">
        <v>91</v>
      </c>
      <c r="B6" s="147">
        <f>15998.3*2.204622/60</f>
        <v>587.83673570999997</v>
      </c>
      <c r="C6" s="147">
        <f>25941.6*2.204622/60-B6</f>
        <v>365.35363221</v>
      </c>
      <c r="D6" s="147"/>
      <c r="E6" s="147"/>
    </row>
    <row r="7" spans="1:5" ht="14.25" x14ac:dyDescent="0.2">
      <c r="A7" s="42" t="s">
        <v>99</v>
      </c>
      <c r="B7" s="147">
        <f>21148.2*2.204622/60</f>
        <v>777.06311633999997</v>
      </c>
      <c r="C7" s="147">
        <f>33247.4*2.204622/60-B7</f>
        <v>444.56937504000018</v>
      </c>
      <c r="D7" s="147"/>
      <c r="E7" s="147"/>
    </row>
    <row r="8" spans="1:5" ht="14.25" x14ac:dyDescent="0.2">
      <c r="A8" s="42" t="s">
        <v>102</v>
      </c>
      <c r="B8" s="147">
        <f>22194.1*2.204622/60</f>
        <v>815.49335216999998</v>
      </c>
      <c r="C8" s="147">
        <f>35645.3*2.204622/60-B8</f>
        <v>494.24685744000021</v>
      </c>
      <c r="D8" s="147"/>
      <c r="E8" s="147"/>
    </row>
    <row r="9" spans="1:5" ht="14.25" x14ac:dyDescent="0.2">
      <c r="A9" s="42" t="s">
        <v>103</v>
      </c>
      <c r="B9" s="147">
        <f>14878.6*2.204622/60</f>
        <v>546.69481482000003</v>
      </c>
      <c r="C9" s="147">
        <f>27843.8*2.204622/60-B9</f>
        <v>476.38941923999994</v>
      </c>
      <c r="D9" s="147"/>
      <c r="E9" s="147"/>
    </row>
    <row r="10" spans="1:5" ht="14.25" x14ac:dyDescent="0.2">
      <c r="A10" s="42" t="s">
        <v>119</v>
      </c>
      <c r="B10" s="147">
        <f>20805.2*2.204622/60</f>
        <v>764.46002724000004</v>
      </c>
      <c r="C10" s="147">
        <f>37065.5*2.204622/60-B10</f>
        <v>597.46358511000017</v>
      </c>
      <c r="D10" s="147"/>
      <c r="E10" s="147"/>
    </row>
    <row r="11" spans="1:5" ht="14.25" x14ac:dyDescent="0.2">
      <c r="A11" s="42" t="s">
        <v>121</v>
      </c>
      <c r="B11" s="147">
        <f>17126.2*2.204622/60</f>
        <v>629.27995494000004</v>
      </c>
      <c r="C11" s="147">
        <f>31478.3*2.204622/60-B11</f>
        <v>527.3492567699999</v>
      </c>
      <c r="D11" s="147"/>
      <c r="E11" s="147"/>
    </row>
    <row r="12" spans="1:5" ht="14.25" x14ac:dyDescent="0.2">
      <c r="A12" s="42" t="s">
        <v>182</v>
      </c>
      <c r="B12" s="147">
        <f>977*2.204622/60</f>
        <v>35.898594900000006</v>
      </c>
      <c r="C12" s="147">
        <f>21839.2*2.204622/60-B12</f>
        <v>766.55441814000005</v>
      </c>
      <c r="D12" s="147"/>
      <c r="E12" s="147"/>
    </row>
    <row r="13" spans="1:5" ht="15.75" x14ac:dyDescent="0.25">
      <c r="A13" s="142"/>
      <c r="B13" s="147"/>
      <c r="C13" s="147"/>
      <c r="D13" s="147"/>
      <c r="E13" s="147"/>
    </row>
    <row r="14" spans="1:5" ht="15.75" x14ac:dyDescent="0.25">
      <c r="A14" s="142"/>
      <c r="B14" s="147"/>
      <c r="C14" s="147"/>
      <c r="D14" s="147"/>
      <c r="E14" s="147"/>
    </row>
    <row r="15" spans="1:5" ht="15.75" x14ac:dyDescent="0.25">
      <c r="A15" s="142"/>
      <c r="B15" s="147"/>
      <c r="C15" s="147"/>
      <c r="D15" s="147"/>
      <c r="E15" s="147"/>
    </row>
    <row r="16" spans="1:5" ht="15.75" x14ac:dyDescent="0.25">
      <c r="A16" s="136"/>
      <c r="B16" s="135"/>
      <c r="C16" s="135"/>
      <c r="D16" s="134"/>
    </row>
    <row r="17" spans="1:4" ht="15.75" x14ac:dyDescent="0.25">
      <c r="A17" s="136"/>
      <c r="B17" s="135"/>
      <c r="C17" s="135"/>
      <c r="D17" s="134"/>
    </row>
    <row r="18" spans="1:4" ht="15.75" x14ac:dyDescent="0.25">
      <c r="A18" s="136"/>
      <c r="B18" s="135"/>
      <c r="C18" s="135"/>
      <c r="D18" s="134"/>
    </row>
    <row r="19" spans="1:4" ht="15.75" x14ac:dyDescent="0.25">
      <c r="A19" s="136"/>
      <c r="B19" s="135"/>
      <c r="C19" s="135"/>
      <c r="D19" s="134"/>
    </row>
    <row r="20" spans="1:4" x14ac:dyDescent="0.2">
      <c r="A20" s="136"/>
      <c r="B20" s="135"/>
      <c r="C20" s="135"/>
    </row>
    <row r="21" spans="1:4" x14ac:dyDescent="0.2">
      <c r="A21" s="136"/>
      <c r="B21" s="135"/>
      <c r="C21" s="135"/>
    </row>
    <row r="22" spans="1:4" x14ac:dyDescent="0.2">
      <c r="A22" s="136"/>
      <c r="B22" s="135"/>
      <c r="C22" s="135"/>
    </row>
    <row r="23" spans="1:4" x14ac:dyDescent="0.2">
      <c r="A23" s="136"/>
      <c r="B23" s="135"/>
      <c r="C23" s="135"/>
    </row>
    <row r="24" spans="1:4" x14ac:dyDescent="0.2">
      <c r="A24" s="136"/>
      <c r="B24" s="135"/>
      <c r="C24" s="135"/>
    </row>
    <row r="25" spans="1:4" x14ac:dyDescent="0.2">
      <c r="A25" s="136"/>
      <c r="B25" s="135"/>
      <c r="C25" s="135"/>
    </row>
    <row r="26" spans="1:4" x14ac:dyDescent="0.2">
      <c r="A26" s="136"/>
      <c r="B26" s="135"/>
      <c r="C26" s="135"/>
    </row>
    <row r="27" spans="1:4" x14ac:dyDescent="0.2">
      <c r="A27" s="136"/>
      <c r="B27" s="135"/>
      <c r="C27" s="135"/>
    </row>
    <row r="28" spans="1:4" x14ac:dyDescent="0.2">
      <c r="A28" s="136"/>
      <c r="B28" s="135"/>
      <c r="C28" s="135"/>
    </row>
    <row r="29" spans="1:4" x14ac:dyDescent="0.2">
      <c r="A29" s="136"/>
      <c r="B29" s="135"/>
      <c r="C29" s="135"/>
    </row>
    <row r="30" spans="1:4" x14ac:dyDescent="0.2">
      <c r="A30" s="136"/>
      <c r="B30" s="135"/>
      <c r="C30" s="135"/>
    </row>
    <row r="31" spans="1:4" x14ac:dyDescent="0.2">
      <c r="A31" s="136"/>
      <c r="B31" s="135"/>
      <c r="C31" s="135"/>
    </row>
    <row r="32" spans="1:4" x14ac:dyDescent="0.2">
      <c r="A32" s="136"/>
      <c r="B32" s="135"/>
      <c r="C32" s="135"/>
    </row>
    <row r="33" spans="1:3" x14ac:dyDescent="0.2">
      <c r="A33" s="136"/>
      <c r="B33" s="135"/>
      <c r="C33" s="135"/>
    </row>
    <row r="34" spans="1:3" x14ac:dyDescent="0.2">
      <c r="A34" s="136"/>
      <c r="B34" s="135"/>
      <c r="C34" s="135"/>
    </row>
    <row r="35" spans="1:3" x14ac:dyDescent="0.2">
      <c r="A35" s="136"/>
      <c r="B35" s="135"/>
      <c r="C35" s="135"/>
    </row>
    <row r="36" spans="1:3" x14ac:dyDescent="0.2">
      <c r="A36" s="136"/>
      <c r="B36" s="135"/>
      <c r="C36" s="135"/>
    </row>
    <row r="37" spans="1:3" x14ac:dyDescent="0.2">
      <c r="A37" s="136"/>
      <c r="B37" s="135"/>
      <c r="C37" s="135"/>
    </row>
    <row r="38" spans="1:3" x14ac:dyDescent="0.2">
      <c r="A38" s="136"/>
      <c r="B38" s="135"/>
      <c r="C38" s="135"/>
    </row>
    <row r="39" spans="1:3" x14ac:dyDescent="0.2">
      <c r="A39" s="136"/>
      <c r="B39" s="135"/>
      <c r="C39" s="135"/>
    </row>
    <row r="40" spans="1:3" x14ac:dyDescent="0.2">
      <c r="A40" s="136"/>
      <c r="B40" s="135"/>
      <c r="C40" s="135"/>
    </row>
    <row r="41" spans="1:3" x14ac:dyDescent="0.2">
      <c r="A41" s="136"/>
      <c r="B41" s="135"/>
      <c r="C41" s="135"/>
    </row>
    <row r="42" spans="1:3" x14ac:dyDescent="0.2">
      <c r="A42" s="136"/>
      <c r="B42" s="135"/>
      <c r="C42" s="135"/>
    </row>
    <row r="43" spans="1:3" x14ac:dyDescent="0.2">
      <c r="A43" s="136"/>
      <c r="B43" s="135"/>
      <c r="C43" s="135"/>
    </row>
    <row r="44" spans="1:3" x14ac:dyDescent="0.2">
      <c r="A44" s="136"/>
      <c r="B44" s="135"/>
      <c r="C44" s="135"/>
    </row>
    <row r="45" spans="1:3" x14ac:dyDescent="0.2">
      <c r="A45" s="136"/>
      <c r="B45" s="135"/>
      <c r="C45" s="135"/>
    </row>
    <row r="46" spans="1:3" x14ac:dyDescent="0.2">
      <c r="A46" s="136"/>
      <c r="B46" s="135"/>
      <c r="C46" s="135"/>
    </row>
    <row r="47" spans="1:3" x14ac:dyDescent="0.2">
      <c r="A47" s="136"/>
      <c r="B47" s="135"/>
      <c r="C47" s="135"/>
    </row>
    <row r="48" spans="1:3" x14ac:dyDescent="0.2">
      <c r="A48" s="136"/>
      <c r="B48" s="135"/>
      <c r="C48" s="135"/>
    </row>
    <row r="49" spans="1:3" x14ac:dyDescent="0.2">
      <c r="A49" s="136"/>
      <c r="B49" s="135"/>
      <c r="C49" s="135"/>
    </row>
    <row r="50" spans="1:3" x14ac:dyDescent="0.2">
      <c r="A50" s="136"/>
      <c r="B50" s="135"/>
      <c r="C50" s="135"/>
    </row>
    <row r="51" spans="1:3" x14ac:dyDescent="0.2">
      <c r="A51" s="136"/>
      <c r="B51" s="135"/>
      <c r="C51" s="135"/>
    </row>
    <row r="52" spans="1:3" x14ac:dyDescent="0.2">
      <c r="A52" s="136"/>
      <c r="B52" s="135"/>
      <c r="C52" s="135"/>
    </row>
    <row r="53" spans="1:3" x14ac:dyDescent="0.2">
      <c r="A53" s="136"/>
      <c r="B53" s="135"/>
      <c r="C53" s="135"/>
    </row>
    <row r="54" spans="1:3" x14ac:dyDescent="0.2">
      <c r="A54" s="136"/>
      <c r="B54" s="135"/>
      <c r="C54" s="135"/>
    </row>
    <row r="55" spans="1:3" x14ac:dyDescent="0.2">
      <c r="A55" s="136"/>
      <c r="B55" s="135"/>
      <c r="C55" s="135"/>
    </row>
    <row r="56" spans="1:3" x14ac:dyDescent="0.2">
      <c r="A56" s="136"/>
      <c r="B56" s="135"/>
      <c r="C56" s="135"/>
    </row>
    <row r="57" spans="1:3" x14ac:dyDescent="0.2">
      <c r="A57" s="136"/>
      <c r="B57" s="135"/>
      <c r="C57" s="135"/>
    </row>
    <row r="58" spans="1:3" x14ac:dyDescent="0.2">
      <c r="A58" s="136"/>
      <c r="B58" s="135"/>
      <c r="C58" s="135"/>
    </row>
    <row r="59" spans="1:3" x14ac:dyDescent="0.2">
      <c r="A59" s="136"/>
      <c r="B59" s="135"/>
      <c r="C59" s="135"/>
    </row>
    <row r="60" spans="1:3" x14ac:dyDescent="0.2">
      <c r="A60" s="136"/>
      <c r="B60" s="135"/>
      <c r="C60" s="135"/>
    </row>
    <row r="61" spans="1:3" x14ac:dyDescent="0.2">
      <c r="A61" s="136"/>
      <c r="B61" s="135"/>
      <c r="C61" s="135"/>
    </row>
    <row r="62" spans="1:3" x14ac:dyDescent="0.2">
      <c r="A62" s="136"/>
      <c r="B62" s="135"/>
      <c r="C62" s="135"/>
    </row>
    <row r="63" spans="1:3" x14ac:dyDescent="0.2">
      <c r="A63" s="136"/>
      <c r="B63" s="135"/>
      <c r="C63" s="135"/>
    </row>
    <row r="64" spans="1:3" x14ac:dyDescent="0.2">
      <c r="A64" s="136"/>
      <c r="B64" s="135"/>
      <c r="C64" s="135"/>
    </row>
    <row r="65" spans="1:3" x14ac:dyDescent="0.2">
      <c r="A65" s="136"/>
      <c r="B65" s="135"/>
      <c r="C65" s="135"/>
    </row>
    <row r="66" spans="1:3" x14ac:dyDescent="0.2">
      <c r="A66" s="136"/>
      <c r="B66" s="135"/>
      <c r="C66" s="135"/>
    </row>
    <row r="67" spans="1:3" x14ac:dyDescent="0.2">
      <c r="A67" s="136"/>
      <c r="B67" s="135"/>
      <c r="C67" s="135"/>
    </row>
    <row r="68" spans="1:3" x14ac:dyDescent="0.2">
      <c r="A68" s="136"/>
      <c r="B68" s="135"/>
      <c r="C68" s="135"/>
    </row>
    <row r="69" spans="1:3" x14ac:dyDescent="0.2">
      <c r="A69" s="136"/>
      <c r="B69" s="135"/>
      <c r="C69" s="135"/>
    </row>
    <row r="70" spans="1:3" x14ac:dyDescent="0.2">
      <c r="A70" s="136"/>
      <c r="B70" s="135"/>
      <c r="C70" s="135"/>
    </row>
    <row r="71" spans="1:3" x14ac:dyDescent="0.2">
      <c r="A71" s="136"/>
      <c r="B71" s="135"/>
      <c r="C71" s="135"/>
    </row>
    <row r="72" spans="1:3" x14ac:dyDescent="0.2">
      <c r="A72" s="136"/>
      <c r="B72" s="135"/>
      <c r="C72" s="135"/>
    </row>
    <row r="73" spans="1:3" x14ac:dyDescent="0.2">
      <c r="A73" s="136"/>
      <c r="B73" s="135"/>
      <c r="C73" s="135"/>
    </row>
    <row r="74" spans="1:3" x14ac:dyDescent="0.2">
      <c r="A74" s="136"/>
      <c r="B74" s="135"/>
      <c r="C74" s="135"/>
    </row>
    <row r="75" spans="1:3" x14ac:dyDescent="0.2">
      <c r="A75" s="136"/>
      <c r="B75" s="135"/>
      <c r="C75" s="135"/>
    </row>
    <row r="76" spans="1:3" x14ac:dyDescent="0.2">
      <c r="A76" s="136"/>
      <c r="B76" s="135"/>
      <c r="C76" s="135"/>
    </row>
    <row r="77" spans="1:3" x14ac:dyDescent="0.2">
      <c r="A77" s="136"/>
      <c r="B77" s="135"/>
      <c r="C77" s="135"/>
    </row>
    <row r="78" spans="1:3" x14ac:dyDescent="0.2">
      <c r="A78" s="136"/>
      <c r="B78" s="135"/>
      <c r="C78" s="135"/>
    </row>
    <row r="79" spans="1:3" x14ac:dyDescent="0.2">
      <c r="A79" s="136"/>
      <c r="B79" s="135"/>
      <c r="C79" s="135"/>
    </row>
    <row r="80" spans="1:3" x14ac:dyDescent="0.2">
      <c r="A80" s="136"/>
      <c r="B80" s="135"/>
      <c r="C80" s="135"/>
    </row>
    <row r="81" spans="1:3" x14ac:dyDescent="0.2">
      <c r="A81" s="136"/>
      <c r="B81" s="135"/>
      <c r="C81" s="135"/>
    </row>
    <row r="82" spans="1:3" x14ac:dyDescent="0.2">
      <c r="A82" s="136"/>
      <c r="B82" s="135"/>
      <c r="C82" s="135"/>
    </row>
    <row r="83" spans="1:3" x14ac:dyDescent="0.2">
      <c r="A83" s="136"/>
      <c r="B83" s="135"/>
      <c r="C83" s="135"/>
    </row>
    <row r="84" spans="1:3" x14ac:dyDescent="0.2">
      <c r="A84" s="136"/>
      <c r="B84" s="135"/>
      <c r="C84" s="135"/>
    </row>
    <row r="85" spans="1:3" x14ac:dyDescent="0.2">
      <c r="A85" s="136"/>
      <c r="B85" s="135"/>
      <c r="C85" s="135"/>
    </row>
    <row r="86" spans="1:3" x14ac:dyDescent="0.2">
      <c r="A86" s="136"/>
      <c r="B86" s="135"/>
      <c r="C86" s="135"/>
    </row>
    <row r="87" spans="1:3" x14ac:dyDescent="0.2">
      <c r="A87" s="136"/>
      <c r="B87" s="135"/>
      <c r="C87" s="135"/>
    </row>
    <row r="88" spans="1:3" x14ac:dyDescent="0.2">
      <c r="A88" s="136"/>
      <c r="B88" s="135"/>
      <c r="C88" s="135"/>
    </row>
    <row r="89" spans="1:3" x14ac:dyDescent="0.2">
      <c r="A89" s="136"/>
      <c r="B89" s="135"/>
      <c r="C89" s="135"/>
    </row>
    <row r="90" spans="1:3" x14ac:dyDescent="0.2">
      <c r="A90" s="136"/>
      <c r="B90" s="135"/>
      <c r="C90" s="135"/>
    </row>
    <row r="91" spans="1:3" x14ac:dyDescent="0.2">
      <c r="A91" s="136"/>
      <c r="B91" s="135"/>
      <c r="C91" s="135"/>
    </row>
    <row r="92" spans="1:3" x14ac:dyDescent="0.2">
      <c r="A92" s="136"/>
      <c r="B92" s="135"/>
      <c r="C92" s="135"/>
    </row>
    <row r="93" spans="1:3" x14ac:dyDescent="0.2">
      <c r="A93" s="136"/>
      <c r="B93" s="135"/>
      <c r="C93" s="135"/>
    </row>
    <row r="94" spans="1:3" x14ac:dyDescent="0.2">
      <c r="A94" s="136"/>
      <c r="B94" s="135"/>
      <c r="C94" s="135"/>
    </row>
    <row r="95" spans="1:3" x14ac:dyDescent="0.2">
      <c r="A95" s="136"/>
      <c r="B95" s="135"/>
      <c r="C95" s="135"/>
    </row>
    <row r="96" spans="1:3" x14ac:dyDescent="0.2">
      <c r="A96" s="136"/>
      <c r="B96" s="135"/>
      <c r="C96" s="135"/>
    </row>
    <row r="97" spans="1:3" x14ac:dyDescent="0.2">
      <c r="A97" s="136"/>
      <c r="B97" s="135"/>
      <c r="C97" s="135"/>
    </row>
    <row r="98" spans="1:3" x14ac:dyDescent="0.2">
      <c r="A98" s="136"/>
      <c r="B98" s="135"/>
      <c r="C98" s="135"/>
    </row>
    <row r="99" spans="1:3" x14ac:dyDescent="0.2">
      <c r="A99" s="136"/>
      <c r="B99" s="135"/>
      <c r="C99" s="135"/>
    </row>
    <row r="100" spans="1:3" x14ac:dyDescent="0.2">
      <c r="A100" s="136"/>
      <c r="B100" s="135"/>
      <c r="C100" s="135"/>
    </row>
    <row r="101" spans="1:3" x14ac:dyDescent="0.2">
      <c r="A101" s="136"/>
      <c r="B101" s="135"/>
      <c r="C101" s="135"/>
    </row>
    <row r="102" spans="1:3" x14ac:dyDescent="0.2">
      <c r="A102" s="136"/>
      <c r="B102" s="135"/>
      <c r="C102" s="135"/>
    </row>
    <row r="103" spans="1:3" x14ac:dyDescent="0.2">
      <c r="A103" s="136"/>
      <c r="B103" s="135"/>
      <c r="C103" s="135"/>
    </row>
    <row r="104" spans="1:3" x14ac:dyDescent="0.2">
      <c r="A104" s="136"/>
      <c r="B104" s="135"/>
      <c r="C104" s="135"/>
    </row>
    <row r="105" spans="1:3" x14ac:dyDescent="0.2">
      <c r="A105" s="136"/>
      <c r="B105" s="135"/>
      <c r="C105" s="135"/>
    </row>
    <row r="106" spans="1:3" x14ac:dyDescent="0.2">
      <c r="A106" s="136"/>
      <c r="B106" s="135"/>
      <c r="C106" s="135"/>
    </row>
    <row r="107" spans="1:3" x14ac:dyDescent="0.2">
      <c r="A107" s="136"/>
      <c r="B107" s="135"/>
      <c r="C107" s="135"/>
    </row>
    <row r="108" spans="1:3" x14ac:dyDescent="0.2">
      <c r="A108" s="136"/>
      <c r="B108" s="135"/>
      <c r="C108" s="135"/>
    </row>
    <row r="109" spans="1:3" x14ac:dyDescent="0.2">
      <c r="A109" s="136"/>
      <c r="B109" s="135"/>
      <c r="C109" s="135"/>
    </row>
    <row r="110" spans="1:3" x14ac:dyDescent="0.2">
      <c r="A110" s="136"/>
      <c r="B110" s="135"/>
      <c r="C110" s="135"/>
    </row>
    <row r="111" spans="1:3" x14ac:dyDescent="0.2">
      <c r="A111" s="136"/>
      <c r="B111" s="135"/>
      <c r="C111" s="135"/>
    </row>
    <row r="112" spans="1:3" x14ac:dyDescent="0.2">
      <c r="A112" s="136"/>
      <c r="B112" s="135"/>
      <c r="C112" s="135"/>
    </row>
    <row r="113" spans="1:3" x14ac:dyDescent="0.2">
      <c r="A113" s="136"/>
      <c r="B113" s="135"/>
      <c r="C113" s="135"/>
    </row>
    <row r="114" spans="1:3" x14ac:dyDescent="0.2">
      <c r="A114" s="136"/>
      <c r="B114" s="135"/>
      <c r="C114" s="135"/>
    </row>
    <row r="115" spans="1:3" x14ac:dyDescent="0.2">
      <c r="A115" s="136"/>
      <c r="B115" s="135"/>
      <c r="C115" s="135"/>
    </row>
    <row r="116" spans="1:3" x14ac:dyDescent="0.2">
      <c r="A116" s="136"/>
      <c r="B116" s="135"/>
      <c r="C116" s="135"/>
    </row>
    <row r="117" spans="1:3" x14ac:dyDescent="0.2">
      <c r="A117" s="136"/>
      <c r="B117" s="135"/>
      <c r="C117" s="135"/>
    </row>
    <row r="118" spans="1:3" x14ac:dyDescent="0.2">
      <c r="A118" s="136"/>
      <c r="B118" s="135"/>
      <c r="C118" s="135"/>
    </row>
    <row r="119" spans="1:3" x14ac:dyDescent="0.2">
      <c r="A119" s="136"/>
      <c r="B119" s="135"/>
      <c r="C119" s="135"/>
    </row>
    <row r="120" spans="1:3" x14ac:dyDescent="0.2">
      <c r="A120" s="136"/>
      <c r="B120" s="135"/>
      <c r="C120" s="135"/>
    </row>
    <row r="121" spans="1:3" x14ac:dyDescent="0.2">
      <c r="A121" s="136"/>
      <c r="B121" s="135"/>
      <c r="C121" s="135"/>
    </row>
    <row r="122" spans="1:3" x14ac:dyDescent="0.2">
      <c r="A122" s="136"/>
      <c r="B122" s="135"/>
      <c r="C122" s="135"/>
    </row>
    <row r="123" spans="1:3" x14ac:dyDescent="0.2">
      <c r="A123" s="136"/>
      <c r="B123" s="135"/>
      <c r="C123" s="135"/>
    </row>
    <row r="124" spans="1:3" x14ac:dyDescent="0.2">
      <c r="A124" s="136"/>
      <c r="B124" s="135"/>
      <c r="C124" s="135"/>
    </row>
    <row r="125" spans="1:3" x14ac:dyDescent="0.2">
      <c r="A125" s="136"/>
      <c r="B125" s="135"/>
      <c r="C125" s="135"/>
    </row>
    <row r="126" spans="1:3" x14ac:dyDescent="0.2">
      <c r="A126" s="136"/>
      <c r="B126" s="135"/>
      <c r="C126" s="135"/>
    </row>
    <row r="127" spans="1:3" x14ac:dyDescent="0.2">
      <c r="A127" s="136"/>
      <c r="B127" s="135"/>
      <c r="C127" s="135"/>
    </row>
    <row r="128" spans="1:3" x14ac:dyDescent="0.2">
      <c r="A128" s="136"/>
      <c r="B128" s="135"/>
      <c r="C128" s="135"/>
    </row>
    <row r="129" spans="1:3" x14ac:dyDescent="0.2">
      <c r="A129" s="136"/>
      <c r="B129" s="135"/>
      <c r="C129" s="135"/>
    </row>
    <row r="130" spans="1:3" x14ac:dyDescent="0.2">
      <c r="A130" s="136"/>
      <c r="B130" s="135"/>
      <c r="C130" s="135"/>
    </row>
    <row r="131" spans="1:3" x14ac:dyDescent="0.2">
      <c r="A131" s="136"/>
      <c r="B131" s="135"/>
    </row>
    <row r="132" spans="1:3" x14ac:dyDescent="0.2">
      <c r="A132" s="136"/>
      <c r="B132" s="135"/>
      <c r="C132" s="135"/>
    </row>
    <row r="133" spans="1:3" x14ac:dyDescent="0.2">
      <c r="A133" s="136"/>
      <c r="B133" s="135"/>
      <c r="C133" s="135"/>
    </row>
    <row r="134" spans="1:3" x14ac:dyDescent="0.2">
      <c r="A134" s="136"/>
      <c r="B134" s="135"/>
      <c r="C134" s="135"/>
    </row>
    <row r="135" spans="1:3" x14ac:dyDescent="0.2">
      <c r="A135" s="136"/>
      <c r="B135" s="135"/>
      <c r="C135" s="135"/>
    </row>
    <row r="136" spans="1:3" x14ac:dyDescent="0.2">
      <c r="A136" s="136"/>
      <c r="B136" s="135"/>
      <c r="C136" s="135"/>
    </row>
    <row r="137" spans="1:3" x14ac:dyDescent="0.2">
      <c r="A137" s="136"/>
      <c r="B137" s="135"/>
      <c r="C137" s="135"/>
    </row>
    <row r="138" spans="1:3" x14ac:dyDescent="0.2">
      <c r="A138" s="136"/>
      <c r="B138" s="135"/>
      <c r="C138" s="135"/>
    </row>
    <row r="139" spans="1:3" x14ac:dyDescent="0.2">
      <c r="A139" s="136"/>
      <c r="B139" s="135"/>
      <c r="C139" s="135"/>
    </row>
    <row r="140" spans="1:3" x14ac:dyDescent="0.2">
      <c r="A140" s="136"/>
      <c r="B140" s="135"/>
      <c r="C140" s="135"/>
    </row>
    <row r="141" spans="1:3" x14ac:dyDescent="0.2">
      <c r="A141" s="136"/>
      <c r="B141" s="135"/>
      <c r="C141" s="135"/>
    </row>
    <row r="142" spans="1:3" x14ac:dyDescent="0.2">
      <c r="A142" s="136"/>
      <c r="B142" s="135"/>
      <c r="C142" s="135"/>
    </row>
    <row r="143" spans="1:3" x14ac:dyDescent="0.2">
      <c r="A143" s="136"/>
      <c r="B143" s="135"/>
      <c r="C143" s="135"/>
    </row>
    <row r="144" spans="1:3" x14ac:dyDescent="0.2">
      <c r="A144" s="136"/>
      <c r="B144" s="135"/>
      <c r="C144" s="135"/>
    </row>
    <row r="145" spans="1:3" x14ac:dyDescent="0.2">
      <c r="A145" s="136"/>
      <c r="B145" s="135"/>
      <c r="C145" s="135"/>
    </row>
    <row r="146" spans="1:3" x14ac:dyDescent="0.2">
      <c r="A146" s="136"/>
      <c r="B146" s="135"/>
      <c r="C146" s="135"/>
    </row>
    <row r="147" spans="1:3" x14ac:dyDescent="0.2">
      <c r="A147" s="136"/>
      <c r="B147" s="135"/>
      <c r="C147" s="135"/>
    </row>
    <row r="148" spans="1:3" x14ac:dyDescent="0.2">
      <c r="A148" s="136"/>
      <c r="B148" s="135"/>
      <c r="C148" s="135"/>
    </row>
    <row r="149" spans="1:3" x14ac:dyDescent="0.2">
      <c r="A149" s="136"/>
      <c r="B149" s="135"/>
      <c r="C149" s="135"/>
    </row>
    <row r="150" spans="1:3" x14ac:dyDescent="0.2">
      <c r="A150" s="136"/>
      <c r="B150" s="135"/>
      <c r="C150" s="135"/>
    </row>
    <row r="151" spans="1:3" x14ac:dyDescent="0.2">
      <c r="A151" s="136"/>
      <c r="B151" s="135"/>
      <c r="C151" s="135"/>
    </row>
    <row r="152" spans="1:3" x14ac:dyDescent="0.2">
      <c r="A152" s="136"/>
      <c r="B152" s="135"/>
      <c r="C152" s="135"/>
    </row>
    <row r="153" spans="1:3" x14ac:dyDescent="0.2">
      <c r="A153" s="136"/>
      <c r="B153" s="135"/>
      <c r="C153" s="135"/>
    </row>
    <row r="154" spans="1:3" x14ac:dyDescent="0.2">
      <c r="A154" s="136"/>
      <c r="B154" s="135"/>
      <c r="C154" s="135"/>
    </row>
    <row r="155" spans="1:3" x14ac:dyDescent="0.2">
      <c r="A155" s="136"/>
      <c r="B155" s="135"/>
      <c r="C155" s="135"/>
    </row>
    <row r="156" spans="1:3" x14ac:dyDescent="0.2">
      <c r="A156" s="136"/>
      <c r="B156" s="135"/>
      <c r="C156" s="135"/>
    </row>
    <row r="157" spans="1:3" x14ac:dyDescent="0.2">
      <c r="A157" s="136"/>
      <c r="B157" s="135"/>
      <c r="C157" s="135"/>
    </row>
    <row r="158" spans="1:3" x14ac:dyDescent="0.2">
      <c r="A158" s="136"/>
      <c r="B158" s="135"/>
    </row>
    <row r="159" spans="1:3" x14ac:dyDescent="0.2">
      <c r="A159" s="136"/>
      <c r="B159" s="135"/>
      <c r="C159" s="135"/>
    </row>
    <row r="160" spans="1:3" x14ac:dyDescent="0.2">
      <c r="A160" s="136"/>
      <c r="B160" s="135"/>
      <c r="C160" s="135"/>
    </row>
    <row r="161" spans="1:3" x14ac:dyDescent="0.2">
      <c r="A161" s="136"/>
      <c r="B161" s="135"/>
      <c r="C161" s="135"/>
    </row>
    <row r="162" spans="1:3" x14ac:dyDescent="0.2">
      <c r="A162" s="136"/>
      <c r="B162" s="135"/>
      <c r="C162" s="135"/>
    </row>
    <row r="163" spans="1:3" x14ac:dyDescent="0.2">
      <c r="A163" s="136"/>
      <c r="B163" s="135"/>
      <c r="C163" s="135"/>
    </row>
    <row r="164" spans="1:3" x14ac:dyDescent="0.2">
      <c r="A164" s="136"/>
      <c r="B164" s="135"/>
      <c r="C164" s="135"/>
    </row>
    <row r="165" spans="1:3" x14ac:dyDescent="0.2">
      <c r="A165" s="136"/>
      <c r="B165" s="135"/>
      <c r="C165" s="135"/>
    </row>
    <row r="166" spans="1:3" x14ac:dyDescent="0.2">
      <c r="A166" s="136"/>
      <c r="B166" s="135"/>
      <c r="C166" s="135"/>
    </row>
    <row r="167" spans="1:3" x14ac:dyDescent="0.2">
      <c r="A167" s="136"/>
      <c r="B167" s="135"/>
      <c r="C167" s="135"/>
    </row>
    <row r="168" spans="1:3" x14ac:dyDescent="0.2">
      <c r="A168" s="136"/>
      <c r="B168" s="135"/>
    </row>
    <row r="169" spans="1:3" x14ac:dyDescent="0.2">
      <c r="A169" s="136"/>
      <c r="B169" s="135"/>
      <c r="C169" s="135"/>
    </row>
    <row r="170" spans="1:3" x14ac:dyDescent="0.2">
      <c r="A170" s="136"/>
      <c r="B170" s="135"/>
      <c r="C170" s="135"/>
    </row>
    <row r="171" spans="1:3" x14ac:dyDescent="0.2">
      <c r="A171" s="136"/>
      <c r="B171" s="135"/>
      <c r="C171" s="135"/>
    </row>
    <row r="172" spans="1:3" x14ac:dyDescent="0.2">
      <c r="A172" s="136"/>
      <c r="B172" s="135"/>
      <c r="C172" s="135"/>
    </row>
    <row r="173" spans="1:3" x14ac:dyDescent="0.2">
      <c r="A173" s="136"/>
      <c r="B173" s="135"/>
      <c r="C173" s="135"/>
    </row>
    <row r="174" spans="1:3" x14ac:dyDescent="0.2">
      <c r="A174" s="136"/>
      <c r="B174" s="135"/>
      <c r="C174" s="135"/>
    </row>
    <row r="175" spans="1:3" x14ac:dyDescent="0.2">
      <c r="A175" s="136"/>
      <c r="B175" s="135"/>
      <c r="C175" s="135"/>
    </row>
    <row r="176" spans="1:3" x14ac:dyDescent="0.2">
      <c r="A176" s="136"/>
      <c r="B176" s="135"/>
      <c r="C176" s="135"/>
    </row>
    <row r="177" spans="1:3" x14ac:dyDescent="0.2">
      <c r="A177" s="136"/>
      <c r="B177" s="135"/>
      <c r="C177" s="135"/>
    </row>
    <row r="178" spans="1:3" x14ac:dyDescent="0.2">
      <c r="A178" s="136"/>
      <c r="B178" s="135"/>
      <c r="C178" s="135"/>
    </row>
    <row r="179" spans="1:3" x14ac:dyDescent="0.2">
      <c r="A179" s="136"/>
      <c r="B179" s="135"/>
      <c r="C179" s="135"/>
    </row>
    <row r="180" spans="1:3" x14ac:dyDescent="0.2">
      <c r="A180" s="136"/>
      <c r="B180" s="135"/>
      <c r="C180" s="135"/>
    </row>
    <row r="181" spans="1:3" x14ac:dyDescent="0.2">
      <c r="A181" s="136"/>
      <c r="B181" s="135"/>
      <c r="C181" s="135"/>
    </row>
    <row r="182" spans="1:3" x14ac:dyDescent="0.2">
      <c r="A182" s="136"/>
      <c r="B182" s="135"/>
      <c r="C182" s="135"/>
    </row>
    <row r="183" spans="1:3" x14ac:dyDescent="0.2">
      <c r="A183" s="136"/>
      <c r="B183" s="135"/>
      <c r="C183" s="135"/>
    </row>
    <row r="184" spans="1:3" x14ac:dyDescent="0.2">
      <c r="A184" s="136"/>
      <c r="B184" s="135"/>
      <c r="C184" s="135"/>
    </row>
    <row r="185" spans="1:3" x14ac:dyDescent="0.2">
      <c r="A185" s="136"/>
      <c r="B185" s="135"/>
      <c r="C185" s="135"/>
    </row>
    <row r="186" spans="1:3" x14ac:dyDescent="0.2">
      <c r="A186" s="136"/>
      <c r="B186" s="135"/>
      <c r="C186" s="135"/>
    </row>
    <row r="187" spans="1:3" x14ac:dyDescent="0.2">
      <c r="A187" s="136"/>
      <c r="B187" s="135"/>
      <c r="C187" s="135"/>
    </row>
    <row r="188" spans="1:3" x14ac:dyDescent="0.2">
      <c r="A188" s="136"/>
      <c r="B188" s="135"/>
      <c r="C188" s="135"/>
    </row>
    <row r="189" spans="1:3" x14ac:dyDescent="0.2">
      <c r="A189" s="136"/>
      <c r="B189" s="135"/>
      <c r="C189" s="135"/>
    </row>
    <row r="190" spans="1:3" x14ac:dyDescent="0.2">
      <c r="A190" s="136"/>
      <c r="B190" s="135"/>
      <c r="C190" s="135"/>
    </row>
    <row r="191" spans="1:3" x14ac:dyDescent="0.2">
      <c r="A191" s="136"/>
      <c r="B191" s="135"/>
      <c r="C191" s="135"/>
    </row>
    <row r="192" spans="1:3" x14ac:dyDescent="0.2">
      <c r="A192" s="136"/>
      <c r="B192" s="135"/>
      <c r="C192" s="135"/>
    </row>
    <row r="193" spans="1:3" x14ac:dyDescent="0.2">
      <c r="A193" s="136"/>
      <c r="B193" s="135"/>
      <c r="C193" s="135"/>
    </row>
    <row r="194" spans="1:3" x14ac:dyDescent="0.2">
      <c r="A194" s="136"/>
      <c r="B194" s="135"/>
      <c r="C194" s="135"/>
    </row>
    <row r="195" spans="1:3" x14ac:dyDescent="0.2">
      <c r="A195" s="136"/>
      <c r="B195" s="135"/>
      <c r="C195" s="135"/>
    </row>
    <row r="196" spans="1:3" x14ac:dyDescent="0.2">
      <c r="A196" s="136"/>
      <c r="B196" s="135"/>
      <c r="C196" s="135"/>
    </row>
    <row r="197" spans="1:3" x14ac:dyDescent="0.2">
      <c r="A197" s="136"/>
      <c r="B197" s="135"/>
      <c r="C197" s="135"/>
    </row>
    <row r="198" spans="1:3" x14ac:dyDescent="0.2">
      <c r="A198" s="136"/>
      <c r="B198" s="135"/>
      <c r="C198" s="135"/>
    </row>
    <row r="199" spans="1:3" x14ac:dyDescent="0.2">
      <c r="A199" s="136"/>
      <c r="B199" s="135"/>
      <c r="C199" s="135"/>
    </row>
    <row r="200" spans="1:3" x14ac:dyDescent="0.2">
      <c r="A200" s="136"/>
      <c r="B200" s="135"/>
      <c r="C200" s="135"/>
    </row>
    <row r="201" spans="1:3" x14ac:dyDescent="0.2">
      <c r="A201" s="136"/>
      <c r="B201" s="135"/>
      <c r="C201" s="135"/>
    </row>
    <row r="202" spans="1:3" x14ac:dyDescent="0.2">
      <c r="A202" s="136"/>
      <c r="B202" s="135"/>
      <c r="C202" s="135"/>
    </row>
    <row r="203" spans="1:3" x14ac:dyDescent="0.2">
      <c r="A203" s="136"/>
      <c r="B203" s="135"/>
      <c r="C203" s="135"/>
    </row>
    <row r="204" spans="1:3" x14ac:dyDescent="0.2">
      <c r="A204" s="136"/>
      <c r="B204" s="135"/>
      <c r="C204" s="135"/>
    </row>
    <row r="205" spans="1:3" x14ac:dyDescent="0.2">
      <c r="A205" s="136"/>
      <c r="B205" s="135"/>
      <c r="C205" s="135"/>
    </row>
    <row r="206" spans="1:3" x14ac:dyDescent="0.2">
      <c r="A206" s="136"/>
      <c r="B206" s="135"/>
      <c r="C206" s="135"/>
    </row>
    <row r="207" spans="1:3" x14ac:dyDescent="0.2">
      <c r="A207" s="136"/>
      <c r="B207" s="135"/>
      <c r="C207" s="135"/>
    </row>
    <row r="208" spans="1:3" x14ac:dyDescent="0.2">
      <c r="A208" s="136"/>
      <c r="B208" s="135"/>
      <c r="C208" s="135"/>
    </row>
    <row r="209" spans="1:3" x14ac:dyDescent="0.2">
      <c r="A209" s="136"/>
      <c r="B209" s="135"/>
      <c r="C209" s="135"/>
    </row>
    <row r="210" spans="1:3" x14ac:dyDescent="0.2">
      <c r="A210" s="136"/>
      <c r="B210" s="135"/>
      <c r="C210" s="135"/>
    </row>
    <row r="211" spans="1:3" x14ac:dyDescent="0.2">
      <c r="A211" s="136"/>
      <c r="B211" s="135"/>
      <c r="C211" s="135"/>
    </row>
    <row r="212" spans="1:3" x14ac:dyDescent="0.2">
      <c r="A212" s="136"/>
      <c r="B212" s="135"/>
      <c r="C212" s="135"/>
    </row>
    <row r="213" spans="1:3" x14ac:dyDescent="0.2">
      <c r="A213" s="137"/>
      <c r="C213" s="135"/>
    </row>
    <row r="214" spans="1:3" x14ac:dyDescent="0.2">
      <c r="A214" s="137"/>
      <c r="C214" s="135"/>
    </row>
    <row r="215" spans="1:3" x14ac:dyDescent="0.2">
      <c r="A215" s="137"/>
    </row>
    <row r="216" spans="1:3" x14ac:dyDescent="0.2">
      <c r="A216" s="137"/>
    </row>
    <row r="217" spans="1:3" x14ac:dyDescent="0.2">
      <c r="A217" s="137"/>
    </row>
    <row r="218" spans="1:3" x14ac:dyDescent="0.2">
      <c r="A218" s="13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Tables 4-7</vt:lpstr>
      <vt:lpstr>Table 8</vt:lpstr>
      <vt:lpstr>Table 9</vt:lpstr>
      <vt:lpstr>Table 10</vt:lpstr>
      <vt:lpstr>Cover</vt:lpstr>
      <vt:lpstr>Oil Crops Chart Gallery Fig 1</vt:lpstr>
      <vt:lpstr>Oil Crops Chart Gallery Fig 2</vt:lpstr>
      <vt:lpstr>'Table 1'!Print_Area</vt:lpstr>
      <vt:lpstr>'Table 10'!Print_Area</vt:lpstr>
      <vt:lpstr>'Table 2'!Print_Area</vt:lpstr>
      <vt:lpstr>'Table 3'!Print_Area</vt:lpstr>
      <vt:lpstr>'Table 8'!Print_Area</vt:lpstr>
      <vt:lpstr>'Table 9'!Print_Area</vt:lpstr>
      <vt:lpstr>'Tables 4-7'!Print_Area</vt:lpstr>
    </vt:vector>
  </TitlesOfParts>
  <Manager/>
  <Company>USDA-Economic Research 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Crops Outlook tables</dc:title>
  <dc:subject>Agricultural economics</dc:subject>
  <dc:creator>Mark S. Ash</dc:creator>
  <cp:keywords>soybeans, cottonseed, sunflower, peanuts, canola, supply, disappearance, price, OCS-18k, November 2018</cp:keywords>
  <dc:description>mash@ers.usda.gov</dc:description>
  <cp:lastModifiedBy>Windows User</cp:lastModifiedBy>
  <cp:lastPrinted>2014-11-10T20:35:48Z</cp:lastPrinted>
  <dcterms:created xsi:type="dcterms:W3CDTF">2001-11-13T16:22:15Z</dcterms:created>
  <dcterms:modified xsi:type="dcterms:W3CDTF">2018-11-13T14:48:26Z</dcterms:modified>
  <cp:category>Oilseeds</cp:category>
</cp:coreProperties>
</file>