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M:\CROPS\Oil Crops\Oil Crops Outlook Files MASH\Outlook reports\October 2021\"/>
    </mc:Choice>
  </mc:AlternateContent>
  <xr:revisionPtr revIDLastSave="0" documentId="13_ncr:1_{E8762800-8C6D-48B9-83FD-04774317E7DA}" xr6:coauthVersionLast="46" xr6:coauthVersionMax="46" xr10:uidLastSave="{00000000-0000-0000-0000-000000000000}"/>
  <bookViews>
    <workbookView xWindow="-120" yWindow="-120" windowWidth="20730" windowHeight="11160" tabRatio="682" xr2:uid="{00000000-000D-0000-FFFF-FFFF00000000}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Cover" sheetId="42" r:id="rId9"/>
    <sheet name="Figure 1" sheetId="43" r:id="rId10"/>
    <sheet name="Figure 2" sheetId="38" r:id="rId11"/>
  </sheets>
  <definedNames>
    <definedName name="_xlnm.Print_Area" localSheetId="1">'Table 1'!$A$1:$N$49</definedName>
    <definedName name="_xlnm.Print_Area" localSheetId="7">'Table 10'!$A$1:$G$48</definedName>
    <definedName name="_xlnm.Print_Area" localSheetId="2">'Table 2'!$A$1:$J$39</definedName>
    <definedName name="_xlnm.Print_Area" localSheetId="3">'Table 3'!$A$1:$L$52</definedName>
    <definedName name="_xlnm.Print_Area" localSheetId="5">'Table 8'!$A$1:$G$46</definedName>
    <definedName name="_xlnm.Print_Area" localSheetId="6">'Table 9'!$A$1:$I$48</definedName>
    <definedName name="_xlnm.Print_Area" localSheetId="4">'Tables 4-7'!$A$1:$O$52</definedName>
    <definedName name="WASDE_Updated" localSheetId="0">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L7" i="1"/>
  <c r="K7" i="1"/>
  <c r="J7" i="1"/>
  <c r="G7" i="1"/>
  <c r="J36" i="9"/>
  <c r="D36" i="9"/>
  <c r="H36" i="2"/>
  <c r="D36" i="2"/>
  <c r="L45" i="1"/>
  <c r="G45" i="1"/>
  <c r="E36" i="2" l="1"/>
  <c r="I36" i="2" s="1"/>
  <c r="G36" i="2" s="1"/>
  <c r="E36" i="9"/>
  <c r="K36" i="9" s="1"/>
  <c r="G36" i="9" s="1"/>
  <c r="J45" i="1"/>
  <c r="J44" i="1"/>
  <c r="F7" i="1" l="1"/>
  <c r="J37" i="9"/>
  <c r="H37" i="9"/>
  <c r="D37" i="9"/>
  <c r="C37" i="9"/>
  <c r="B36" i="9"/>
  <c r="B36" i="2"/>
  <c r="H37" i="2"/>
  <c r="D37" i="2"/>
  <c r="C37" i="2"/>
  <c r="L46" i="1"/>
  <c r="L47" i="1" s="1"/>
  <c r="J46" i="1"/>
  <c r="G46" i="1"/>
  <c r="E46" i="1"/>
  <c r="G47" i="1"/>
  <c r="I31" i="3"/>
  <c r="G31" i="3"/>
  <c r="E31" i="3"/>
  <c r="J6" i="3"/>
  <c r="I19" i="3"/>
  <c r="H44" i="3"/>
  <c r="D44" i="3"/>
  <c r="H46" i="1" l="1"/>
  <c r="M46" i="1" s="1"/>
  <c r="K46" i="1"/>
  <c r="J47" i="1"/>
  <c r="J35" i="9"/>
  <c r="E35" i="9"/>
  <c r="K35" i="9" s="1"/>
  <c r="D35" i="9"/>
  <c r="B35" i="9"/>
  <c r="H35" i="2"/>
  <c r="E35" i="2"/>
  <c r="I35" i="2" s="1"/>
  <c r="I37" i="2" s="1"/>
  <c r="D35" i="2"/>
  <c r="B35" i="2"/>
  <c r="L44" i="1"/>
  <c r="G44" i="1"/>
  <c r="G35" i="9" l="1"/>
  <c r="G35" i="2"/>
  <c r="G37" i="2" s="1"/>
  <c r="L6" i="9"/>
  <c r="I35" i="9" l="1"/>
  <c r="D46" i="3"/>
  <c r="B21" i="3"/>
  <c r="B20" i="3"/>
  <c r="B8" i="9"/>
  <c r="B7" i="9"/>
  <c r="D8" i="1"/>
  <c r="J34" i="9"/>
  <c r="E34" i="9"/>
  <c r="K34" i="9" s="1"/>
  <c r="D34" i="9"/>
  <c r="I34" i="2"/>
  <c r="H34" i="2"/>
  <c r="G34" i="2"/>
  <c r="E34" i="2"/>
  <c r="D34" i="2"/>
  <c r="L43" i="1"/>
  <c r="G43" i="1"/>
  <c r="B34" i="9"/>
  <c r="B34" i="2"/>
  <c r="J43" i="1"/>
  <c r="G34" i="9" l="1"/>
  <c r="L44" i="3"/>
  <c r="J33" i="9"/>
  <c r="J32" i="9"/>
  <c r="J31" i="9"/>
  <c r="J30" i="9"/>
  <c r="J29" i="9"/>
  <c r="J28" i="9"/>
  <c r="J27" i="9"/>
  <c r="J26" i="9"/>
  <c r="D33" i="9"/>
  <c r="D32" i="9"/>
  <c r="D31" i="9"/>
  <c r="D30" i="9"/>
  <c r="D29" i="9"/>
  <c r="D28" i="9"/>
  <c r="D27" i="9"/>
  <c r="D26" i="9"/>
  <c r="J22" i="9"/>
  <c r="J21" i="9"/>
  <c r="J20" i="9"/>
  <c r="J19" i="9"/>
  <c r="J18" i="9"/>
  <c r="J17" i="9"/>
  <c r="J16" i="9"/>
  <c r="J15" i="9"/>
  <c r="J14" i="9"/>
  <c r="J13" i="9"/>
  <c r="J12" i="9"/>
  <c r="J11" i="9"/>
  <c r="D22" i="9"/>
  <c r="D21" i="9"/>
  <c r="D20" i="9"/>
  <c r="D19" i="9"/>
  <c r="D18" i="9"/>
  <c r="D17" i="9"/>
  <c r="D16" i="9"/>
  <c r="D15" i="9"/>
  <c r="D14" i="9"/>
  <c r="D13" i="9"/>
  <c r="D12" i="9"/>
  <c r="D11" i="9"/>
  <c r="I34" i="9" l="1"/>
  <c r="H33" i="2"/>
  <c r="H32" i="2"/>
  <c r="H31" i="2"/>
  <c r="H30" i="2"/>
  <c r="H29" i="2"/>
  <c r="H28" i="2"/>
  <c r="H27" i="2"/>
  <c r="H26" i="2"/>
  <c r="D33" i="2"/>
  <c r="D32" i="2"/>
  <c r="D31" i="2"/>
  <c r="D30" i="2"/>
  <c r="D29" i="2"/>
  <c r="D28" i="2"/>
  <c r="D27" i="2"/>
  <c r="D26" i="2"/>
  <c r="H22" i="2"/>
  <c r="H21" i="2"/>
  <c r="H20" i="2"/>
  <c r="H19" i="2"/>
  <c r="H18" i="2"/>
  <c r="H17" i="2"/>
  <c r="H16" i="2"/>
  <c r="H15" i="2"/>
  <c r="H14" i="2"/>
  <c r="H13" i="2"/>
  <c r="H12" i="2"/>
  <c r="H11" i="2"/>
  <c r="D22" i="2"/>
  <c r="D21" i="2"/>
  <c r="D20" i="2"/>
  <c r="D19" i="2"/>
  <c r="D18" i="2"/>
  <c r="D17" i="2"/>
  <c r="D16" i="2"/>
  <c r="D15" i="2"/>
  <c r="D14" i="2"/>
  <c r="D13" i="2"/>
  <c r="D12" i="2"/>
  <c r="D11" i="2"/>
  <c r="M8" i="1"/>
  <c r="M7" i="1"/>
  <c r="L41" i="1" l="1"/>
  <c r="L40" i="1"/>
  <c r="L39" i="1"/>
  <c r="L37" i="1"/>
  <c r="L36" i="1"/>
  <c r="L35" i="1"/>
  <c r="L33" i="1"/>
  <c r="L32" i="1"/>
  <c r="L31" i="1"/>
  <c r="G41" i="1"/>
  <c r="G40" i="1"/>
  <c r="G39" i="1"/>
  <c r="G37" i="1"/>
  <c r="G36" i="1"/>
  <c r="G35" i="1"/>
  <c r="G33" i="1"/>
  <c r="G32" i="1"/>
  <c r="G31" i="1"/>
  <c r="J26" i="1"/>
  <c r="J25" i="1"/>
  <c r="J24" i="1"/>
  <c r="J22" i="1"/>
  <c r="J21" i="1"/>
  <c r="J20" i="1"/>
  <c r="J18" i="1"/>
  <c r="J17" i="1"/>
  <c r="J16" i="1"/>
  <c r="J14" i="1"/>
  <c r="J13" i="1"/>
  <c r="J12" i="1"/>
  <c r="J41" i="1"/>
  <c r="J40" i="1"/>
  <c r="J39" i="1"/>
  <c r="J37" i="1"/>
  <c r="J36" i="1"/>
  <c r="J35" i="1"/>
  <c r="J33" i="1"/>
  <c r="J32" i="1"/>
  <c r="J31" i="1"/>
  <c r="L26" i="1"/>
  <c r="L25" i="1"/>
  <c r="L24" i="1"/>
  <c r="L22" i="1"/>
  <c r="L21" i="1"/>
  <c r="L20" i="1"/>
  <c r="L18" i="1"/>
  <c r="L17" i="1"/>
  <c r="L16" i="1"/>
  <c r="L14" i="1"/>
  <c r="L13" i="1"/>
  <c r="G26" i="1"/>
  <c r="G25" i="1"/>
  <c r="G24" i="1"/>
  <c r="G22" i="1"/>
  <c r="G21" i="1"/>
  <c r="G20" i="1"/>
  <c r="G18" i="1"/>
  <c r="G17" i="1"/>
  <c r="G16" i="1"/>
  <c r="G14" i="1"/>
  <c r="G13" i="1"/>
  <c r="L12" i="1"/>
  <c r="G12" i="1"/>
  <c r="J19" i="1" l="1"/>
  <c r="D23" i="9"/>
  <c r="D6" i="9" s="1"/>
  <c r="H23" i="9"/>
  <c r="H6" i="9" s="1"/>
  <c r="J23" i="9"/>
  <c r="J6" i="9" s="1"/>
  <c r="I6" i="1"/>
  <c r="E34" i="1" l="1"/>
  <c r="I32" i="9" l="1"/>
  <c r="B33" i="9"/>
  <c r="B33" i="2"/>
  <c r="E33" i="2" s="1"/>
  <c r="E42" i="1"/>
  <c r="G42" i="1"/>
  <c r="H42" i="1" l="1"/>
  <c r="M42" i="1" s="1"/>
  <c r="E33" i="9"/>
  <c r="K33" i="9" s="1"/>
  <c r="G33" i="9" s="1"/>
  <c r="G37" i="9" s="1"/>
  <c r="I33" i="2"/>
  <c r="G33" i="2" s="1"/>
  <c r="B40" i="9"/>
  <c r="I33" i="9" l="1"/>
  <c r="I37" i="9" s="1"/>
  <c r="I21" i="3"/>
  <c r="I20" i="3"/>
  <c r="B8" i="2" l="1"/>
  <c r="L42" i="1" l="1"/>
  <c r="B32" i="9" l="1"/>
  <c r="E32" i="9" s="1"/>
  <c r="J42" i="1"/>
  <c r="K42" i="1" s="1"/>
  <c r="B32" i="2"/>
  <c r="E32" i="2" s="1"/>
  <c r="K32" i="9" l="1"/>
  <c r="I32" i="2"/>
  <c r="G32" i="2" l="1"/>
  <c r="A5" i="10" l="1"/>
  <c r="B31" i="9" l="1"/>
  <c r="E31" i="9" s="1"/>
  <c r="K31" i="9" s="1"/>
  <c r="B31" i="2"/>
  <c r="E31" i="2"/>
  <c r="E8" i="2"/>
  <c r="E8" i="9"/>
  <c r="K8" i="9" s="1"/>
  <c r="G8" i="9" s="1"/>
  <c r="I8" i="9" s="1"/>
  <c r="I8" i="2" l="1"/>
  <c r="G8" i="2" s="1"/>
  <c r="I31" i="2"/>
  <c r="G31" i="2" s="1"/>
  <c r="B8" i="3"/>
  <c r="E8" i="3" s="1"/>
  <c r="E21" i="3"/>
  <c r="B33" i="3"/>
  <c r="E46" i="3"/>
  <c r="H46" i="3" s="1"/>
  <c r="N46" i="3" s="1"/>
  <c r="L46" i="3" s="1"/>
  <c r="D45" i="3"/>
  <c r="E33" i="3" l="1"/>
  <c r="I33" i="3" s="1"/>
  <c r="G33" i="3" s="1"/>
  <c r="B30" i="2"/>
  <c r="E38" i="1"/>
  <c r="E30" i="2" l="1"/>
  <c r="I30" i="2" l="1"/>
  <c r="G30" i="2" s="1"/>
  <c r="E7" i="9"/>
  <c r="K7" i="9" s="1"/>
  <c r="G7" i="9" s="1"/>
  <c r="I7" i="9" s="1"/>
  <c r="E20" i="3"/>
  <c r="B30" i="9"/>
  <c r="E30" i="9" s="1"/>
  <c r="K30" i="9" s="1"/>
  <c r="B49" i="5" l="1"/>
  <c r="L38" i="1" l="1"/>
  <c r="G38" i="1"/>
  <c r="H38" i="1" s="1"/>
  <c r="M38" i="1" s="1"/>
  <c r="B29" i="2" l="1"/>
  <c r="E29" i="2" s="1"/>
  <c r="B29" i="9"/>
  <c r="E29" i="9" s="1"/>
  <c r="K29" i="9" s="1"/>
  <c r="J38" i="1"/>
  <c r="F47" i="1"/>
  <c r="I29" i="2" l="1"/>
  <c r="K38" i="1"/>
  <c r="G29" i="2" l="1"/>
  <c r="B28" i="9" l="1"/>
  <c r="E28" i="9" s="1"/>
  <c r="K28" i="9" s="1"/>
  <c r="B28" i="2" l="1"/>
  <c r="E28" i="2" s="1"/>
  <c r="I28" i="2" l="1"/>
  <c r="G28" i="2" s="1"/>
  <c r="L34" i="1"/>
  <c r="B27" i="9" l="1"/>
  <c r="E27" i="9" s="1"/>
  <c r="K27" i="9" s="1"/>
  <c r="B27" i="2"/>
  <c r="E27" i="2" s="1"/>
  <c r="I27" i="2" l="1"/>
  <c r="G27" i="2" s="1"/>
  <c r="J34" i="1"/>
  <c r="B26" i="2"/>
  <c r="E37" i="2" s="1"/>
  <c r="B22" i="2"/>
  <c r="E22" i="2" s="1"/>
  <c r="I22" i="2" s="1"/>
  <c r="G22" i="2" s="1"/>
  <c r="B21" i="2"/>
  <c r="E21" i="2" s="1"/>
  <c r="I21" i="2" s="1"/>
  <c r="G21" i="2" s="1"/>
  <c r="B20" i="2"/>
  <c r="E20" i="2" s="1"/>
  <c r="I20" i="2" s="1"/>
  <c r="G20" i="2" s="1"/>
  <c r="B19" i="2"/>
  <c r="E19" i="2" s="1"/>
  <c r="I19" i="2" s="1"/>
  <c r="G19" i="2" s="1"/>
  <c r="B18" i="2"/>
  <c r="E18" i="2" s="1"/>
  <c r="I18" i="2" s="1"/>
  <c r="G18" i="2" s="1"/>
  <c r="B17" i="2"/>
  <c r="E17" i="2" s="1"/>
  <c r="I17" i="2" s="1"/>
  <c r="G17" i="2" s="1"/>
  <c r="B16" i="2"/>
  <c r="E16" i="2" s="1"/>
  <c r="I16" i="2" s="1"/>
  <c r="G16" i="2" s="1"/>
  <c r="B15" i="2"/>
  <c r="E15" i="2" s="1"/>
  <c r="I15" i="2" s="1"/>
  <c r="G15" i="2" s="1"/>
  <c r="B14" i="2"/>
  <c r="E14" i="2" s="1"/>
  <c r="I14" i="2" s="1"/>
  <c r="G14" i="2" s="1"/>
  <c r="B13" i="2"/>
  <c r="E13" i="2" s="1"/>
  <c r="I13" i="2" s="1"/>
  <c r="G13" i="2" s="1"/>
  <c r="B12" i="2"/>
  <c r="E12" i="2" s="1"/>
  <c r="I12" i="2" s="1"/>
  <c r="G12" i="2" s="1"/>
  <c r="B11" i="2"/>
  <c r="C23" i="9"/>
  <c r="C6" i="9" s="1"/>
  <c r="B22" i="9"/>
  <c r="E22" i="9" s="1"/>
  <c r="B21" i="9"/>
  <c r="B20" i="9"/>
  <c r="B19" i="9"/>
  <c r="E19" i="9" s="1"/>
  <c r="B18" i="9"/>
  <c r="B17" i="9"/>
  <c r="E17" i="9" s="1"/>
  <c r="K17" i="9" s="1"/>
  <c r="G17" i="9" s="1"/>
  <c r="I17" i="9" s="1"/>
  <c r="B16" i="9"/>
  <c r="E16" i="9" s="1"/>
  <c r="K16" i="9" s="1"/>
  <c r="G16" i="9" s="1"/>
  <c r="I16" i="9" s="1"/>
  <c r="B15" i="9"/>
  <c r="E15" i="9" s="1"/>
  <c r="B14" i="9"/>
  <c r="E14" i="9" s="1"/>
  <c r="K14" i="9" s="1"/>
  <c r="G14" i="9" s="1"/>
  <c r="I14" i="9" s="1"/>
  <c r="B13" i="9"/>
  <c r="B12" i="9"/>
  <c r="B11" i="9"/>
  <c r="B6" i="9" s="1"/>
  <c r="E23" i="9" l="1"/>
  <c r="E6" i="9" s="1"/>
  <c r="E11" i="2"/>
  <c r="I11" i="2" s="1"/>
  <c r="G11" i="2" s="1"/>
  <c r="B6" i="2"/>
  <c r="K19" i="9"/>
  <c r="G19" i="9" s="1"/>
  <c r="I19" i="9" s="1"/>
  <c r="D23" i="2"/>
  <c r="D6" i="2" s="1"/>
  <c r="H23" i="2"/>
  <c r="H6" i="2" s="1"/>
  <c r="E12" i="9"/>
  <c r="K12" i="9" s="1"/>
  <c r="G12" i="9" s="1"/>
  <c r="I12" i="9" s="1"/>
  <c r="E20" i="9"/>
  <c r="K20" i="9" s="1"/>
  <c r="G20" i="9" s="1"/>
  <c r="I20" i="9" s="1"/>
  <c r="E18" i="9"/>
  <c r="K18" i="9" s="1"/>
  <c r="G18" i="9" s="1"/>
  <c r="I18" i="9" s="1"/>
  <c r="K15" i="9"/>
  <c r="G15" i="9" s="1"/>
  <c r="I15" i="9" s="1"/>
  <c r="E13" i="9"/>
  <c r="K13" i="9" s="1"/>
  <c r="G13" i="9" s="1"/>
  <c r="I13" i="9" s="1"/>
  <c r="E21" i="9"/>
  <c r="K21" i="9" s="1"/>
  <c r="G21" i="9" s="1"/>
  <c r="I21" i="9" s="1"/>
  <c r="E11" i="9"/>
  <c r="K11" i="9" s="1"/>
  <c r="G34" i="1"/>
  <c r="H47" i="1" l="1"/>
  <c r="H34" i="1"/>
  <c r="M34" i="1" s="1"/>
  <c r="M47" i="1" s="1"/>
  <c r="G11" i="9"/>
  <c r="K34" i="1" l="1"/>
  <c r="K47" i="1" s="1"/>
  <c r="B26" i="9"/>
  <c r="E37" i="9" s="1"/>
  <c r="K22" i="9"/>
  <c r="I11" i="9"/>
  <c r="G22" i="9" l="1"/>
  <c r="G23" i="9" s="1"/>
  <c r="K23" i="9"/>
  <c r="K6" i="9" s="1"/>
  <c r="F15" i="1"/>
  <c r="I22" i="9" l="1"/>
  <c r="I23" i="9" s="1"/>
  <c r="I6" i="9" s="1"/>
  <c r="G6" i="9"/>
  <c r="E27" i="1"/>
  <c r="F28" i="1" l="1"/>
  <c r="F6" i="1" s="1"/>
  <c r="L27" i="1" l="1"/>
  <c r="G27" i="1"/>
  <c r="H27" i="1" s="1"/>
  <c r="M27" i="1" s="1"/>
  <c r="J27" i="1" l="1"/>
  <c r="K27" i="1" s="1"/>
  <c r="E23" i="1" l="1"/>
  <c r="E45" i="3" l="1"/>
  <c r="H45" i="3" s="1"/>
  <c r="B32" i="3"/>
  <c r="E32" i="3" s="1"/>
  <c r="B7" i="3"/>
  <c r="E7" i="3" s="1"/>
  <c r="J7" i="3" s="1"/>
  <c r="N45" i="3" l="1"/>
  <c r="L45" i="3" s="1"/>
  <c r="I32" i="3"/>
  <c r="G32" i="3" s="1"/>
  <c r="L23" i="1"/>
  <c r="G23" i="1" l="1"/>
  <c r="H23" i="1" l="1"/>
  <c r="M23" i="1" s="1"/>
  <c r="J23" i="1"/>
  <c r="K23" i="1" l="1"/>
  <c r="D7" i="1" l="1"/>
  <c r="E19" i="1" l="1"/>
  <c r="B50" i="3" l="1"/>
  <c r="L19" i="1" l="1"/>
  <c r="G19" i="1"/>
  <c r="H19" i="1" l="1"/>
  <c r="M19" i="1" s="1"/>
  <c r="K19" i="1" s="1"/>
  <c r="G22" i="6" l="1"/>
  <c r="L15" i="1" l="1"/>
  <c r="L28" i="1" s="1"/>
  <c r="L6" i="1" s="1"/>
  <c r="G15" i="1"/>
  <c r="G28" i="1" s="1"/>
  <c r="G6" i="1" s="1"/>
  <c r="H28" i="1" l="1"/>
  <c r="H6" i="1" s="1"/>
  <c r="J15" i="1"/>
  <c r="J28" i="1" s="1"/>
  <c r="J6" i="1" s="1"/>
  <c r="H15" i="1"/>
  <c r="E26" i="9" l="1"/>
  <c r="M15" i="1"/>
  <c r="M28" i="1" s="1"/>
  <c r="M6" i="1" s="1"/>
  <c r="N6" i="1" s="1"/>
  <c r="E7" i="1" s="1"/>
  <c r="H7" i="1" s="1"/>
  <c r="E26" i="2"/>
  <c r="B50" i="1"/>
  <c r="N7" i="1" l="1"/>
  <c r="E8" i="1" s="1"/>
  <c r="H8" i="1" s="1"/>
  <c r="N8" i="1" s="1"/>
  <c r="K26" i="9"/>
  <c r="K37" i="9" s="1"/>
  <c r="I26" i="2"/>
  <c r="G26" i="2"/>
  <c r="K15" i="1"/>
  <c r="K28" i="1" s="1"/>
  <c r="K6" i="1" s="1"/>
  <c r="B50" i="6" l="1"/>
  <c r="B49" i="4"/>
  <c r="B40" i="2"/>
  <c r="C23" i="2" l="1"/>
  <c r="E23" i="2" l="1"/>
  <c r="E6" i="2" s="1"/>
  <c r="C6" i="2"/>
  <c r="I23" i="2"/>
  <c r="I6" i="2" s="1"/>
  <c r="G23" i="2"/>
  <c r="G6" i="2" s="1"/>
  <c r="J6" i="2" l="1"/>
  <c r="B7" i="2" s="1"/>
  <c r="E7" i="2" s="1"/>
  <c r="I7" i="2" s="1"/>
  <c r="G7" i="2" l="1"/>
  <c r="J8" i="3" l="1"/>
  <c r="I7" i="3"/>
</calcChain>
</file>

<file path=xl/sharedStrings.xml><?xml version="1.0" encoding="utf-8"?>
<sst xmlns="http://schemas.openxmlformats.org/spreadsheetml/2006/main" count="578" uniqueCount="184">
  <si>
    <t xml:space="preserve">          Supply</t>
  </si>
  <si>
    <t>Production</t>
  </si>
  <si>
    <t>Imports</t>
  </si>
  <si>
    <t>Total</t>
  </si>
  <si>
    <t>Exports</t>
  </si>
  <si>
    <t>residual</t>
  </si>
  <si>
    <t>Ending</t>
  </si>
  <si>
    <t>stocks</t>
  </si>
  <si>
    <t>Beginning</t>
  </si>
  <si>
    <t>Domestic</t>
  </si>
  <si>
    <t>NA</t>
  </si>
  <si>
    <t>Marketing</t>
  </si>
  <si>
    <t>year</t>
  </si>
  <si>
    <t>Cottonseed</t>
  </si>
  <si>
    <t xml:space="preserve">     1,000 short tons</t>
  </si>
  <si>
    <t xml:space="preserve">  1,000 short tons</t>
  </si>
  <si>
    <t xml:space="preserve">      Million pounds</t>
  </si>
  <si>
    <t>Disappearance</t>
  </si>
  <si>
    <t>Last update:</t>
  </si>
  <si>
    <t>Area</t>
  </si>
  <si>
    <t>Planted</t>
  </si>
  <si>
    <t>Harvested</t>
  </si>
  <si>
    <t>Yield</t>
  </si>
  <si>
    <t xml:space="preserve">Exports  </t>
  </si>
  <si>
    <t xml:space="preserve">Total  </t>
  </si>
  <si>
    <t xml:space="preserve">stocks </t>
  </si>
  <si>
    <t xml:space="preserve">Ending </t>
  </si>
  <si>
    <t xml:space="preserve">Domestic </t>
  </si>
  <si>
    <t xml:space="preserve">Beginning </t>
  </si>
  <si>
    <t xml:space="preserve">Imports </t>
  </si>
  <si>
    <t xml:space="preserve">Total </t>
  </si>
  <si>
    <t xml:space="preserve">Exports </t>
  </si>
  <si>
    <t xml:space="preserve">Crush </t>
  </si>
  <si>
    <t xml:space="preserve">Other </t>
  </si>
  <si>
    <t xml:space="preserve">food </t>
  </si>
  <si>
    <t xml:space="preserve">Soybean </t>
  </si>
  <si>
    <t xml:space="preserve">Peanut </t>
  </si>
  <si>
    <t xml:space="preserve">Canola  </t>
  </si>
  <si>
    <t xml:space="preserve">Linseed </t>
  </si>
  <si>
    <t xml:space="preserve">Edible  </t>
  </si>
  <si>
    <t xml:space="preserve">Corn  </t>
  </si>
  <si>
    <t>Canola</t>
  </si>
  <si>
    <t xml:space="preserve">stocks  </t>
  </si>
  <si>
    <t>2010/11</t>
  </si>
  <si>
    <t>NA = Not available.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</si>
  <si>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</si>
  <si>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</si>
  <si>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</si>
  <si>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</si>
  <si>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</si>
  <si>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</si>
  <si>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</si>
  <si>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</si>
  <si>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</si>
  <si>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2011/12</t>
  </si>
  <si>
    <t>July</t>
  </si>
  <si>
    <t>August</t>
  </si>
  <si>
    <t>Use</t>
  </si>
  <si>
    <t>September</t>
  </si>
  <si>
    <t>Crush</t>
  </si>
  <si>
    <t>Pounds/acre</t>
  </si>
  <si>
    <t>Year beginning</t>
  </si>
  <si>
    <t>October 1</t>
  </si>
  <si>
    <t>August 1</t>
  </si>
  <si>
    <t>September 1</t>
  </si>
  <si>
    <t>Sunflowerseed</t>
  </si>
  <si>
    <t>2012/13</t>
  </si>
  <si>
    <t>Supply</t>
  </si>
  <si>
    <t>Million acres</t>
  </si>
  <si>
    <t>1,000 acres</t>
  </si>
  <si>
    <t xml:space="preserve">  Total  </t>
  </si>
  <si>
    <t xml:space="preserve"> stocks </t>
  </si>
  <si>
    <t>2013/14</t>
  </si>
  <si>
    <t>Seed &amp;</t>
  </si>
  <si>
    <t>2014/15</t>
  </si>
  <si>
    <t>2015/16</t>
  </si>
  <si>
    <t xml:space="preserve">  September</t>
  </si>
  <si>
    <t xml:space="preserve">     -------------------------------------------- 1,000 short tons--------------------------------------------</t>
  </si>
  <si>
    <t xml:space="preserve">  October</t>
  </si>
  <si>
    <t>Million pounds</t>
  </si>
  <si>
    <t xml:space="preserve">  November</t>
  </si>
  <si>
    <t xml:space="preserve">  December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</si>
  <si>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</si>
  <si>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</si>
  <si>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</si>
  <si>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</si>
  <si>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</si>
  <si>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>2016/17</t>
  </si>
  <si>
    <t>2017/18</t>
  </si>
  <si>
    <t>Oil Crops Outlook Tables</t>
  </si>
  <si>
    <t>Last update</t>
  </si>
  <si>
    <r>
      <t xml:space="preserve">Source: USDA, World Agricultural Outlook Board, </t>
    </r>
    <r>
      <rPr>
        <i/>
        <sz val="11"/>
        <rFont val="Arial"/>
        <family val="2"/>
      </rPr>
      <t>World Agricultural Supply and Demand Estimates.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</si>
  <si>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</si>
  <si>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</si>
  <si>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</si>
  <si>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</si>
  <si>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</si>
  <si>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</si>
  <si>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</si>
  <si>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r>
      <t xml:space="preserve">Source: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</si>
  <si>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</si>
  <si>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</si>
  <si>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</si>
  <si>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</si>
  <si>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</si>
  <si>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</si>
  <si>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</si>
  <si>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</si>
  <si>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</si>
  <si>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</si>
  <si>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</si>
  <si>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r>
      <t xml:space="preserve">meal </t>
    </r>
    <r>
      <rPr>
        <vertAlign val="superscript"/>
        <sz val="11"/>
        <rFont val="Arial"/>
        <family val="2"/>
      </rPr>
      <t xml:space="preserve">7  </t>
    </r>
  </si>
  <si>
    <t>2018/19</t>
  </si>
  <si>
    <t>---------------------------------------------Million bushels----------------------------------------------------------</t>
  </si>
  <si>
    <t>2019/20</t>
  </si>
  <si>
    <r>
      <t>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36.744 bushels and 1 hectare equals 2.471 acres.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</si>
  <si>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1.10231 short tons. NA: Not available.</t>
    </r>
  </si>
  <si>
    <r>
      <t>2020/21</t>
    </r>
    <r>
      <rPr>
        <vertAlign val="superscript"/>
        <sz val="11"/>
        <rFont val="Arial"/>
        <family val="2"/>
      </rPr>
      <t>1</t>
    </r>
  </si>
  <si>
    <r>
      <t xml:space="preserve">Bureau of the Census, </t>
    </r>
    <r>
      <rPr>
        <i/>
        <sz val="11"/>
        <rFont val="Arial"/>
        <family val="2"/>
      </rPr>
      <t>Foreign Trade Statistics.</t>
    </r>
  </si>
  <si>
    <t xml:space="preserve"> June</t>
  </si>
  <si>
    <t xml:space="preserve"> July</t>
  </si>
  <si>
    <t xml:space="preserve"> August</t>
  </si>
  <si>
    <t>2020/21</t>
  </si>
  <si>
    <t>Total to date</t>
  </si>
  <si>
    <t>Bushels per acre</t>
  </si>
  <si>
    <t>Soybeans: Quarterly U.S. supply and disappearance</t>
  </si>
  <si>
    <t xml:space="preserve">Dollars per bushel </t>
  </si>
  <si>
    <t xml:space="preserve">Dollars per short ton  </t>
  </si>
  <si>
    <t>Cents per pound</t>
  </si>
  <si>
    <t>Dollars per hundredweight</t>
  </si>
  <si>
    <t>------------------------------------------------------- Cents per pound----------------------------------------------</t>
  </si>
  <si>
    <t>--------------------------------------------------- Dollars per short ton------------------------------------------</t>
  </si>
  <si>
    <t>Table 2—Soybean meal: U.S. supply and disappearance</t>
  </si>
  <si>
    <t>Table 3—Soybean oil: U.S. supply and disappearance</t>
  </si>
  <si>
    <t>Table 4—Cottonseed: U.S. supply and disappearance</t>
  </si>
  <si>
    <t>Table 5—Cottonseed meal: U.S. supply and disappearance</t>
  </si>
  <si>
    <t>Table 6—Cottonseed oil: U.S. supply and disappearance</t>
  </si>
  <si>
    <t>Table 7—Peanuts: U.S. supply and disappearance</t>
  </si>
  <si>
    <t>Table 8—Oilseed prices received by U.S. farmers</t>
  </si>
  <si>
    <t>Table 9—U.S. vegetable oil and fats prices</t>
  </si>
  <si>
    <t xml:space="preserve">Table 10—U.S. oilseed meal prices </t>
  </si>
  <si>
    <t>Table 1—Soybeans: U.S. supply and disappearance</t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</si>
  <si>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>, and</t>
    </r>
    <r>
      <rPr>
        <i/>
        <sz val="11"/>
        <rFont val="Arial"/>
        <family val="2"/>
      </rPr>
      <t xml:space="preserve"> Grain Stocks</t>
    </r>
    <r>
      <rPr>
        <sz val="11"/>
        <rFont val="Arial"/>
        <family val="2"/>
      </rPr>
      <t xml:space="preserve">; and U.S. Department of Commerce, Bureau of the Census, </t>
    </r>
    <r>
      <rPr>
        <i/>
        <sz val="11"/>
        <rFont val="Arial"/>
        <family val="2"/>
      </rPr>
      <t>Foreign Trade Statistics</t>
    </r>
    <r>
      <rPr>
        <sz val="11"/>
        <rFont val="Arial"/>
        <family val="2"/>
      </rPr>
      <t>.</t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</si>
  <si>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Chicago, IL.  NA = Not available.</t>
    </r>
  </si>
  <si>
    <r>
      <t>5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34-percent Minneapolis, MN. </t>
    </r>
  </si>
  <si>
    <r>
      <t>Sources: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National Agricultural Statistics Service,</t>
    </r>
    <r>
      <rPr>
        <i/>
        <sz val="11"/>
        <rFont val="Arial"/>
        <family val="2"/>
      </rPr>
      <t xml:space="preserve"> Crop Production; </t>
    </r>
    <r>
      <rPr>
        <sz val="11"/>
        <rFont val="Arial"/>
        <family val="2"/>
      </rPr>
      <t>and U.S. Department of Commerce,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</si>
  <si>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Production,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Peanut Stocks and Processing; </t>
    </r>
    <r>
      <rPr>
        <sz val="11"/>
        <rFont val="Arial"/>
        <family val="2"/>
      </rPr>
      <t>and U.S. Department of Commerce,</t>
    </r>
  </si>
  <si>
    <r>
      <t>2021/22</t>
    </r>
    <r>
      <rPr>
        <vertAlign val="superscript"/>
        <sz val="11"/>
        <rFont val="Arial"/>
        <family val="2"/>
      </rPr>
      <t>2</t>
    </r>
  </si>
  <si>
    <r>
      <t>2021/22</t>
    </r>
    <r>
      <rPr>
        <vertAlign val="superscript"/>
        <sz val="11"/>
        <rFont val="Arial"/>
        <family val="2"/>
      </rPr>
      <t>1</t>
    </r>
  </si>
  <si>
    <t>Million Pounds</t>
  </si>
  <si>
    <r>
      <t>2020/21</t>
    </r>
    <r>
      <rPr>
        <vertAlign val="superscript"/>
        <sz val="11"/>
        <rFont val="Arial"/>
        <family val="2"/>
      </rPr>
      <t>4</t>
    </r>
  </si>
  <si>
    <r>
      <t>2021/22</t>
    </r>
    <r>
      <rPr>
        <vertAlign val="superscript"/>
        <sz val="11"/>
        <rFont val="Arial"/>
        <family val="2"/>
      </rPr>
      <t>4</t>
    </r>
  </si>
  <si>
    <r>
      <t>Biofuel</t>
    </r>
    <r>
      <rPr>
        <vertAlign val="superscript"/>
        <sz val="11"/>
        <rFont val="Arial"/>
        <family val="2"/>
      </rPr>
      <t>3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</si>
  <si>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Prior year’s monthly biofuel data are estimated on yearly data. Note: 1 metric ton equals 2,204.622 pounds. NA: Not available.</t>
    </r>
  </si>
  <si>
    <r>
      <t xml:space="preserve">Source: USDA, Foreign Agricultural Service, </t>
    </r>
    <r>
      <rPr>
        <i/>
        <sz val="11"/>
        <rFont val="Arial"/>
        <family val="2"/>
      </rPr>
      <t>Production, Supply, and Distribution.</t>
    </r>
  </si>
  <si>
    <r>
      <t>1</t>
    </r>
    <r>
      <rPr>
        <sz val="11"/>
        <rFont val="Arial"/>
        <family val="2"/>
      </rPr>
      <t xml:space="preserve"> Preliminary.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High-protein, Decatur, IL.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41-percent Memphis, TN.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34-percent North Dakota-Minnesota.</t>
    </r>
  </si>
  <si>
    <r>
      <t xml:space="preserve">Sources: USDA, Agricultural Marketing Service, </t>
    </r>
    <r>
      <rPr>
        <i/>
        <sz val="11"/>
        <rFont val="Arial"/>
        <family val="2"/>
      </rPr>
      <t>Monthly Feedstuff Prices.</t>
    </r>
  </si>
  <si>
    <r>
      <t>1</t>
    </r>
    <r>
      <rPr>
        <sz val="11"/>
        <rFont val="Arial"/>
        <family val="2"/>
      </rPr>
      <t xml:space="preserve"> Preliminary.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High-protein, Decatur, IL.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Midwest. </t>
    </r>
  </si>
  <si>
    <t xml:space="preserve">Contact: Aaron Ates </t>
  </si>
  <si>
    <t>Food &amp; other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</si>
  <si>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September-August.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August-July.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July-June.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Preliminary.</t>
    </r>
  </si>
  <si>
    <t>Soybean oil</t>
  </si>
  <si>
    <t>Harvested acres</t>
  </si>
  <si>
    <t>2021/22</t>
  </si>
  <si>
    <t>Marketing year</t>
  </si>
  <si>
    <t>Soybean meal</t>
  </si>
  <si>
    <t>Month</t>
  </si>
  <si>
    <t>Oct</t>
  </si>
  <si>
    <t>Nov</t>
  </si>
  <si>
    <t>Dec</t>
  </si>
  <si>
    <t>Jan</t>
  </si>
  <si>
    <t>Feb</t>
  </si>
  <si>
    <t>Aug</t>
  </si>
  <si>
    <t>Sept</t>
  </si>
  <si>
    <t>Residual</t>
  </si>
  <si>
    <t xml:space="preserve">  September–November</t>
  </si>
  <si>
    <t xml:space="preserve">  December–February</t>
  </si>
  <si>
    <t xml:space="preserve">  March–May</t>
  </si>
  <si>
    <t xml:space="preserve"> June–August</t>
  </si>
  <si>
    <t xml:space="preserve">  June–August</t>
  </si>
  <si>
    <t>Beginning stocks</t>
  </si>
  <si>
    <t>Domestic use</t>
  </si>
  <si>
    <t>Ending stocks</t>
  </si>
  <si>
    <r>
      <t xml:space="preserve">Sources: USDA, Agricultural Marketing Service, </t>
    </r>
    <r>
      <rPr>
        <i/>
        <sz val="11"/>
        <rFont val="Arial"/>
        <family val="2"/>
      </rPr>
      <t>Monthly Feedstuff Prices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>Tallow and Protein Report</t>
    </r>
    <r>
      <rPr>
        <sz val="11"/>
        <rFont val="Arial"/>
        <family val="2"/>
      </rPr>
      <t xml:space="preserve">; and Sosland Publishing, </t>
    </r>
    <r>
      <rPr>
        <i/>
        <sz val="11"/>
        <rFont val="Arial"/>
        <family val="2"/>
      </rPr>
      <t>Milling and Baking News</t>
    </r>
    <r>
      <rPr>
        <sz val="1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</si>
</sst>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"/>
    <numFmt numFmtId="170" formatCode="0.0000"/>
    <numFmt numFmtId="171" formatCode="#,##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</font>
    <font>
      <sz val="10"/>
      <name val="Courier New"/>
      <family val="3"/>
    </font>
    <font>
      <u/>
      <sz val="11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23" fillId="0" borderId="0"/>
    <xf numFmtId="0" fontId="8" fillId="0" borderId="0"/>
    <xf numFmtId="0" fontId="7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" fillId="0" borderId="0"/>
    <xf numFmtId="44" fontId="9" fillId="0" borderId="0" applyFont="0" applyFill="0" applyBorder="0" applyAlignment="0" applyProtection="0"/>
  </cellStyleXfs>
  <cellXfs count="172">
    <xf numFmtId="0" fontId="0" fillId="0" borderId="0" xfId="0"/>
    <xf numFmtId="0" fontId="10" fillId="0" borderId="0" xfId="8" applyFont="1"/>
    <xf numFmtId="0" fontId="11" fillId="0" borderId="0" xfId="8" applyFont="1"/>
    <xf numFmtId="0" fontId="10" fillId="0" borderId="0" xfId="8" applyFont="1" applyFill="1"/>
    <xf numFmtId="0" fontId="10" fillId="0" borderId="0" xfId="8" quotePrefix="1" applyFont="1"/>
    <xf numFmtId="0" fontId="16" fillId="0" borderId="0" xfId="8" applyFont="1" applyFill="1"/>
    <xf numFmtId="0" fontId="17" fillId="0" borderId="0" xfId="8" applyFont="1"/>
    <xf numFmtId="0" fontId="18" fillId="0" borderId="0" xfId="0" applyFont="1"/>
    <xf numFmtId="169" fontId="18" fillId="0" borderId="1" xfId="1" applyNumberFormat="1" applyFont="1" applyFill="1" applyBorder="1" applyAlignment="1">
      <alignment horizontal="right"/>
    </xf>
    <xf numFmtId="169" fontId="18" fillId="0" borderId="0" xfId="1" applyNumberFormat="1" applyFont="1" applyFill="1" applyAlignment="1">
      <alignment horizontal="right" indent="1"/>
    </xf>
    <xf numFmtId="169" fontId="18" fillId="0" borderId="0" xfId="1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169" fontId="18" fillId="0" borderId="0" xfId="1" applyNumberFormat="1" applyFont="1" applyFill="1" applyBorder="1" applyAlignment="1">
      <alignment horizontal="right" indent="1"/>
    </xf>
    <xf numFmtId="0" fontId="18" fillId="0" borderId="0" xfId="8" applyFont="1" applyBorder="1" applyAlignment="1">
      <alignment vertical="top" wrapText="1"/>
    </xf>
    <xf numFmtId="0" fontId="24" fillId="0" borderId="0" xfId="7" applyFont="1" applyAlignment="1">
      <alignment horizontal="left"/>
    </xf>
    <xf numFmtId="0" fontId="27" fillId="0" borderId="0" xfId="5" applyFont="1" applyAlignment="1" applyProtection="1"/>
    <xf numFmtId="14" fontId="24" fillId="0" borderId="0" xfId="7" applyNumberFormat="1" applyFont="1" applyAlignment="1">
      <alignment horizontal="left"/>
    </xf>
    <xf numFmtId="0" fontId="27" fillId="0" borderId="0" xfId="4" applyFont="1" applyAlignment="1" applyProtection="1"/>
    <xf numFmtId="0" fontId="18" fillId="0" borderId="0" xfId="7" quotePrefix="1" applyFont="1" applyAlignment="1">
      <alignment horizontal="left"/>
    </xf>
    <xf numFmtId="0" fontId="18" fillId="0" borderId="0" xfId="8" applyFont="1" applyBorder="1" applyAlignment="1">
      <alignment wrapText="1"/>
    </xf>
    <xf numFmtId="169" fontId="18" fillId="0" borderId="0" xfId="1" applyNumberFormat="1" applyFont="1" applyFill="1" applyBorder="1" applyAlignment="1">
      <alignment horizontal="right"/>
    </xf>
    <xf numFmtId="169" fontId="18" fillId="0" borderId="0" xfId="0" applyNumberFormat="1" applyFont="1" applyFill="1"/>
    <xf numFmtId="2" fontId="18" fillId="0" borderId="1" xfId="0" applyNumberFormat="1" applyFont="1" applyFill="1" applyBorder="1" applyAlignment="1">
      <alignment horizontal="right" indent="2"/>
    </xf>
    <xf numFmtId="43" fontId="18" fillId="0" borderId="1" xfId="1" applyFont="1" applyFill="1" applyBorder="1" applyAlignment="1">
      <alignment horizontal="center"/>
    </xf>
    <xf numFmtId="0" fontId="18" fillId="0" borderId="1" xfId="0" applyFont="1" applyFill="1" applyBorder="1"/>
    <xf numFmtId="0" fontId="0" fillId="0" borderId="0" xfId="0" applyFill="1"/>
    <xf numFmtId="0" fontId="18" fillId="0" borderId="0" xfId="0" applyFont="1" applyFill="1"/>
    <xf numFmtId="0" fontId="18" fillId="0" borderId="2" xfId="0" applyFont="1" applyFill="1" applyBorder="1" applyAlignment="1">
      <alignment horizontal="right"/>
    </xf>
    <xf numFmtId="0" fontId="18" fillId="0" borderId="0" xfId="0" applyFont="1" applyFill="1" applyAlignment="1">
      <alignment horizontal="center"/>
    </xf>
    <xf numFmtId="0" fontId="0" fillId="0" borderId="2" xfId="0" applyFill="1" applyBorder="1"/>
    <xf numFmtId="0" fontId="18" fillId="0" borderId="0" xfId="0" applyFont="1" applyFill="1" applyBorder="1"/>
    <xf numFmtId="0" fontId="18" fillId="0" borderId="2" xfId="0" applyFont="1" applyFill="1" applyBorder="1" applyAlignment="1">
      <alignment horizontal="left"/>
    </xf>
    <xf numFmtId="0" fontId="18" fillId="0" borderId="0" xfId="0" applyFont="1" applyFill="1" applyAlignment="1">
      <alignment horizontal="right"/>
    </xf>
    <xf numFmtId="16" fontId="18" fillId="0" borderId="1" xfId="0" quotePrefix="1" applyNumberFormat="1" applyFont="1" applyFill="1" applyBorder="1"/>
    <xf numFmtId="16" fontId="18" fillId="0" borderId="1" xfId="0" applyNumberFormat="1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right" indent="1"/>
    </xf>
    <xf numFmtId="0" fontId="0" fillId="0" borderId="0" xfId="0" applyFill="1" applyAlignment="1">
      <alignment horizontal="left" indent="1"/>
    </xf>
    <xf numFmtId="0" fontId="19" fillId="0" borderId="3" xfId="0" quotePrefix="1" applyFont="1" applyFill="1" applyBorder="1" applyAlignment="1">
      <alignment horizontal="center"/>
    </xf>
    <xf numFmtId="0" fontId="19" fillId="0" borderId="0" xfId="0" quotePrefix="1" applyFont="1" applyFill="1" applyAlignment="1">
      <alignment horizontal="right"/>
    </xf>
    <xf numFmtId="167" fontId="18" fillId="0" borderId="0" xfId="0" applyNumberFormat="1" applyFont="1" applyFill="1" applyAlignment="1">
      <alignment horizontal="center"/>
    </xf>
    <xf numFmtId="165" fontId="18" fillId="0" borderId="0" xfId="1" applyNumberFormat="1" applyFont="1" applyFill="1" applyAlignment="1">
      <alignment horizontal="left"/>
    </xf>
    <xf numFmtId="165" fontId="18" fillId="0" borderId="0" xfId="1" applyNumberFormat="1" applyFont="1" applyFill="1" applyAlignment="1">
      <alignment horizontal="center"/>
    </xf>
    <xf numFmtId="3" fontId="18" fillId="0" borderId="0" xfId="1" applyNumberFormat="1" applyFont="1" applyFill="1" applyBorder="1" applyAlignment="1">
      <alignment horizontal="right" indent="1"/>
    </xf>
    <xf numFmtId="164" fontId="18" fillId="0" borderId="0" xfId="1" applyNumberFormat="1" applyFont="1" applyFill="1" applyBorder="1"/>
    <xf numFmtId="164" fontId="18" fillId="0" borderId="0" xfId="1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24" fillId="0" borderId="0" xfId="0" applyFont="1" applyFill="1"/>
    <xf numFmtId="0" fontId="10" fillId="0" borderId="0" xfId="0" applyFont="1" applyFill="1" applyBorder="1"/>
    <xf numFmtId="0" fontId="9" fillId="0" borderId="0" xfId="0" applyFont="1" applyFill="1" applyBorder="1"/>
    <xf numFmtId="169" fontId="18" fillId="0" borderId="0" xfId="1" quotePrefix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center"/>
    </xf>
    <xf numFmtId="164" fontId="18" fillId="0" borderId="0" xfId="1" quotePrefix="1" applyNumberFormat="1" applyFont="1" applyFill="1" applyBorder="1" applyAlignment="1">
      <alignment horizontal="center"/>
    </xf>
    <xf numFmtId="164" fontId="18" fillId="0" borderId="0" xfId="1" quotePrefix="1" applyNumberFormat="1" applyFont="1" applyFill="1" applyAlignment="1">
      <alignment horizontal="center"/>
    </xf>
    <xf numFmtId="169" fontId="18" fillId="0" borderId="0" xfId="1" quotePrefix="1" applyNumberFormat="1" applyFont="1" applyFill="1" applyAlignment="1">
      <alignment horizontal="right"/>
    </xf>
    <xf numFmtId="169" fontId="0" fillId="0" borderId="0" xfId="0" applyNumberFormat="1" applyFill="1"/>
    <xf numFmtId="3" fontId="18" fillId="0" borderId="0" xfId="0" applyNumberFormat="1" applyFont="1" applyFill="1"/>
    <xf numFmtId="0" fontId="10" fillId="0" borderId="1" xfId="0" applyFont="1" applyFill="1" applyBorder="1"/>
    <xf numFmtId="164" fontId="18" fillId="0" borderId="1" xfId="1" applyNumberFormat="1" applyFont="1" applyFill="1" applyBorder="1" applyAlignment="1">
      <alignment horizontal="center"/>
    </xf>
    <xf numFmtId="164" fontId="18" fillId="0" borderId="1" xfId="1" quotePrefix="1" applyNumberFormat="1" applyFont="1" applyFill="1" applyBorder="1" applyAlignment="1">
      <alignment horizontal="center"/>
    </xf>
    <xf numFmtId="169" fontId="18" fillId="0" borderId="1" xfId="1" applyNumberFormat="1" applyFont="1" applyFill="1" applyBorder="1" applyAlignment="1">
      <alignment horizontal="right" indent="1"/>
    </xf>
    <xf numFmtId="169" fontId="18" fillId="0" borderId="1" xfId="1" quotePrefix="1" applyNumberFormat="1" applyFont="1" applyFill="1" applyBorder="1" applyAlignment="1">
      <alignment horizontal="right"/>
    </xf>
    <xf numFmtId="0" fontId="20" fillId="0" borderId="0" xfId="0" applyFont="1" applyFill="1" applyBorder="1"/>
    <xf numFmtId="164" fontId="18" fillId="0" borderId="0" xfId="0" applyNumberFormat="1" applyFont="1" applyFill="1" applyBorder="1"/>
    <xf numFmtId="164" fontId="18" fillId="0" borderId="0" xfId="1" applyNumberFormat="1" applyFont="1" applyFill="1"/>
    <xf numFmtId="14" fontId="18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ill="1" applyProtection="1"/>
    <xf numFmtId="0" fontId="18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3" fontId="18" fillId="0" borderId="0" xfId="1" applyNumberFormat="1" applyFont="1" applyFill="1" applyAlignment="1">
      <alignment horizontal="right" indent="2"/>
    </xf>
    <xf numFmtId="3" fontId="18" fillId="0" borderId="0" xfId="1" applyNumberFormat="1" applyFont="1" applyFill="1" applyAlignment="1">
      <alignment horizontal="right" indent="1"/>
    </xf>
    <xf numFmtId="3" fontId="18" fillId="0" borderId="0" xfId="1" applyNumberFormat="1" applyFont="1" applyFill="1" applyAlignment="1">
      <alignment horizontal="center"/>
    </xf>
    <xf numFmtId="0" fontId="24" fillId="0" borderId="0" xfId="0" applyFont="1" applyFill="1" applyBorder="1"/>
    <xf numFmtId="169" fontId="18" fillId="0" borderId="0" xfId="1" applyNumberFormat="1" applyFont="1" applyFill="1" applyBorder="1" applyAlignment="1">
      <alignment horizontal="right" indent="2"/>
    </xf>
    <xf numFmtId="169" fontId="18" fillId="0" borderId="1" xfId="1" applyNumberFormat="1" applyFont="1" applyFill="1" applyBorder="1" applyAlignment="1">
      <alignment horizontal="right" indent="2"/>
    </xf>
    <xf numFmtId="0" fontId="20" fillId="0" borderId="0" xfId="0" applyFont="1" applyFill="1"/>
    <xf numFmtId="0" fontId="0" fillId="0" borderId="0" xfId="0" applyFill="1" applyBorder="1"/>
    <xf numFmtId="164" fontId="0" fillId="0" borderId="0" xfId="1" applyNumberFormat="1" applyFont="1" applyFill="1" applyBorder="1"/>
    <xf numFmtId="164" fontId="0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/>
    <xf numFmtId="169" fontId="18" fillId="0" borderId="0" xfId="0" applyNumberFormat="1" applyFont="1" applyFill="1" applyBorder="1"/>
    <xf numFmtId="169" fontId="18" fillId="0" borderId="1" xfId="1" applyNumberFormat="1" applyFont="1" applyFill="1" applyBorder="1" applyAlignment="1">
      <alignment horizontal="center"/>
    </xf>
    <xf numFmtId="165" fontId="18" fillId="0" borderId="1" xfId="1" applyNumberFormat="1" applyFont="1" applyFill="1" applyBorder="1" applyAlignment="1">
      <alignment horizontal="right"/>
    </xf>
    <xf numFmtId="16" fontId="18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2" fontId="18" fillId="0" borderId="0" xfId="0" applyNumberFormat="1" applyFont="1" applyFill="1" applyBorder="1" applyAlignment="1">
      <alignment horizontal="right" indent="2"/>
    </xf>
    <xf numFmtId="170" fontId="18" fillId="0" borderId="0" xfId="0" applyNumberFormat="1" applyFont="1" applyFill="1" applyBorder="1"/>
    <xf numFmtId="43" fontId="18" fillId="0" borderId="0" xfId="1" quotePrefix="1" applyNumberFormat="1" applyFont="1" applyFill="1" applyBorder="1" applyAlignment="1">
      <alignment horizontal="center"/>
    </xf>
    <xf numFmtId="166" fontId="18" fillId="0" borderId="0" xfId="1" quotePrefix="1" applyNumberFormat="1" applyFont="1" applyFill="1" applyBorder="1" applyAlignment="1">
      <alignment horizontal="center"/>
    </xf>
    <xf numFmtId="43" fontId="18" fillId="0" borderId="0" xfId="1" quotePrefix="1" applyFont="1" applyFill="1" applyBorder="1" applyAlignment="1">
      <alignment horizontal="center"/>
    </xf>
    <xf numFmtId="43" fontId="18" fillId="0" borderId="0" xfId="1" applyNumberFormat="1" applyFont="1" applyFill="1" applyBorder="1" applyAlignment="1">
      <alignment horizontal="center"/>
    </xf>
    <xf numFmtId="0" fontId="24" fillId="0" borderId="0" xfId="0" quotePrefix="1" applyFont="1" applyFill="1"/>
    <xf numFmtId="43" fontId="18" fillId="0" borderId="0" xfId="1" applyFont="1" applyFill="1" applyBorder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indent="1"/>
    </xf>
    <xf numFmtId="0" fontId="18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9" fillId="0" borderId="3" xfId="0" quotePrefix="1" applyFont="1" applyFill="1" applyBorder="1" applyAlignment="1"/>
    <xf numFmtId="0" fontId="19" fillId="0" borderId="3" xfId="0" applyFont="1" applyFill="1" applyBorder="1" applyAlignment="1"/>
    <xf numFmtId="43" fontId="18" fillId="0" borderId="0" xfId="1" applyNumberFormat="1" applyFont="1" applyFill="1" applyBorder="1"/>
    <xf numFmtId="0" fontId="9" fillId="0" borderId="0" xfId="0" applyFont="1" applyFill="1"/>
    <xf numFmtId="2" fontId="18" fillId="0" borderId="0" xfId="0" applyNumberFormat="1" applyFont="1" applyFill="1" applyBorder="1" applyAlignment="1">
      <alignment horizontal="center"/>
    </xf>
    <xf numFmtId="43" fontId="18" fillId="0" borderId="0" xfId="0" applyNumberFormat="1" applyFont="1" applyFill="1"/>
    <xf numFmtId="0" fontId="13" fillId="0" borderId="0" xfId="0" applyFont="1" applyFill="1"/>
    <xf numFmtId="2" fontId="0" fillId="0" borderId="0" xfId="0" applyNumberFormat="1" applyFill="1"/>
    <xf numFmtId="165" fontId="18" fillId="0" borderId="0" xfId="1" applyNumberFormat="1" applyFont="1" applyFill="1" applyBorder="1" applyAlignment="1">
      <alignment horizontal="center"/>
    </xf>
    <xf numFmtId="47" fontId="0" fillId="0" borderId="0" xfId="0" applyNumberFormat="1" applyFill="1"/>
    <xf numFmtId="43" fontId="18" fillId="0" borderId="0" xfId="1" applyFont="1" applyFill="1" applyBorder="1" applyAlignment="1">
      <alignment horizontal="center"/>
    </xf>
    <xf numFmtId="0" fontId="18" fillId="0" borderId="0" xfId="0" quotePrefix="1" applyFont="1" applyFill="1" applyBorder="1"/>
    <xf numFmtId="167" fontId="0" fillId="0" borderId="0" xfId="0" applyNumberFormat="1" applyFill="1"/>
    <xf numFmtId="43" fontId="0" fillId="0" borderId="0" xfId="1" applyFont="1" applyFill="1"/>
    <xf numFmtId="43" fontId="9" fillId="0" borderId="0" xfId="1" applyFont="1" applyFill="1"/>
    <xf numFmtId="0" fontId="22" fillId="0" borderId="0" xfId="0" applyFont="1" applyFill="1" applyAlignment="1">
      <alignment vertical="center"/>
    </xf>
    <xf numFmtId="168" fontId="0" fillId="0" borderId="0" xfId="0" applyNumberFormat="1" applyFill="1"/>
    <xf numFmtId="0" fontId="26" fillId="0" borderId="0" xfId="0" applyFont="1" applyFill="1"/>
    <xf numFmtId="168" fontId="18" fillId="0" borderId="0" xfId="0" applyNumberFormat="1" applyFont="1" applyFill="1"/>
    <xf numFmtId="2" fontId="18" fillId="0" borderId="0" xfId="0" applyNumberFormat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0" applyNumberFormat="1" applyFill="1"/>
    <xf numFmtId="0" fontId="18" fillId="0" borderId="3" xfId="0" applyFont="1" applyFill="1" applyBorder="1"/>
    <xf numFmtId="0" fontId="18" fillId="0" borderId="0" xfId="0" applyFont="1" applyFill="1" applyBorder="1" applyAlignment="1">
      <alignment horizontal="right"/>
    </xf>
    <xf numFmtId="37" fontId="18" fillId="0" borderId="0" xfId="1" applyNumberFormat="1" applyFont="1" applyFill="1" applyAlignment="1">
      <alignment horizontal="center"/>
    </xf>
    <xf numFmtId="37" fontId="18" fillId="0" borderId="0" xfId="1" applyNumberFormat="1" applyFont="1" applyFill="1" applyAlignment="1">
      <alignment horizontal="right" indent="2"/>
    </xf>
    <xf numFmtId="165" fontId="18" fillId="0" borderId="0" xfId="1" applyNumberFormat="1" applyFont="1" applyFill="1"/>
    <xf numFmtId="37" fontId="18" fillId="0" borderId="0" xfId="1" applyNumberFormat="1" applyFont="1" applyFill="1" applyAlignment="1">
      <alignment horizontal="right" indent="1"/>
    </xf>
    <xf numFmtId="37" fontId="18" fillId="0" borderId="0" xfId="1" applyNumberFormat="1" applyFont="1" applyFill="1" applyBorder="1" applyAlignment="1">
      <alignment horizontal="center"/>
    </xf>
    <xf numFmtId="37" fontId="18" fillId="0" borderId="0" xfId="1" applyNumberFormat="1" applyFont="1" applyFill="1" applyBorder="1" applyAlignment="1">
      <alignment horizontal="right" indent="2"/>
    </xf>
    <xf numFmtId="165" fontId="18" fillId="0" borderId="0" xfId="1" applyNumberFormat="1" applyFont="1" applyFill="1" applyBorder="1"/>
    <xf numFmtId="37" fontId="18" fillId="0" borderId="0" xfId="1" applyNumberFormat="1" applyFont="1" applyFill="1" applyBorder="1" applyAlignment="1">
      <alignment horizontal="right" indent="1"/>
    </xf>
    <xf numFmtId="37" fontId="18" fillId="0" borderId="1" xfId="1" applyNumberFormat="1" applyFont="1" applyFill="1" applyBorder="1" applyAlignment="1">
      <alignment horizontal="center"/>
    </xf>
    <xf numFmtId="37" fontId="18" fillId="0" borderId="1" xfId="1" applyNumberFormat="1" applyFont="1" applyFill="1" applyBorder="1" applyAlignment="1">
      <alignment horizontal="right" indent="2"/>
    </xf>
    <xf numFmtId="165" fontId="18" fillId="0" borderId="1" xfId="1" applyNumberFormat="1" applyFont="1" applyFill="1" applyBorder="1"/>
    <xf numFmtId="37" fontId="18" fillId="0" borderId="1" xfId="1" applyNumberFormat="1" applyFont="1" applyFill="1" applyBorder="1" applyAlignment="1">
      <alignment horizontal="right" indent="1"/>
    </xf>
    <xf numFmtId="9" fontId="18" fillId="0" borderId="0" xfId="12" applyFont="1" applyFill="1"/>
    <xf numFmtId="1" fontId="18" fillId="0" borderId="0" xfId="0" applyNumberFormat="1" applyFont="1" applyFill="1" applyBorder="1" applyAlignment="1">
      <alignment horizontal="center"/>
    </xf>
    <xf numFmtId="1" fontId="18" fillId="0" borderId="1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19" fillId="0" borderId="4" xfId="0" applyFont="1" applyFill="1" applyBorder="1" applyAlignment="1">
      <alignment horizontal="center"/>
    </xf>
    <xf numFmtId="14" fontId="18" fillId="0" borderId="0" xfId="0" applyNumberFormat="1" applyFont="1" applyFill="1" applyAlignment="1">
      <alignment horizontal="right" indent="1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3" fontId="0" fillId="0" borderId="0" xfId="0" applyNumberFormat="1" applyFill="1"/>
    <xf numFmtId="169" fontId="18" fillId="0" borderId="0" xfId="1" applyNumberFormat="1" applyFont="1" applyFill="1" applyAlignment="1">
      <alignment horizontal="center"/>
    </xf>
    <xf numFmtId="4" fontId="0" fillId="0" borderId="0" xfId="0" applyNumberFormat="1" applyFill="1"/>
    <xf numFmtId="0" fontId="29" fillId="0" borderId="1" xfId="30" applyFont="1" applyBorder="1" applyAlignment="1">
      <alignment horizontal="center"/>
    </xf>
    <xf numFmtId="0" fontId="2" fillId="0" borderId="0" xfId="30"/>
    <xf numFmtId="0" fontId="2" fillId="0" borderId="0" xfId="30" applyNumberFormat="1"/>
    <xf numFmtId="17" fontId="28" fillId="0" borderId="0" xfId="30" applyNumberFormat="1" applyFont="1" applyAlignment="1">
      <alignment horizontal="left"/>
    </xf>
    <xf numFmtId="0" fontId="29" fillId="0" borderId="1" xfId="30" applyNumberFormat="1" applyFont="1" applyBorder="1" applyAlignment="1">
      <alignment horizontal="left"/>
    </xf>
    <xf numFmtId="2" fontId="13" fillId="0" borderId="0" xfId="0" applyNumberFormat="1" applyFont="1" applyFill="1"/>
    <xf numFmtId="171" fontId="18" fillId="0" borderId="0" xfId="1" applyNumberFormat="1" applyFont="1" applyFill="1" applyBorder="1" applyAlignment="1">
      <alignment horizontal="right" indent="1"/>
    </xf>
    <xf numFmtId="0" fontId="29" fillId="0" borderId="1" xfId="29" applyFont="1" applyFill="1" applyBorder="1" applyAlignment="1">
      <alignment horizontal="center" wrapText="1"/>
    </xf>
    <xf numFmtId="0" fontId="28" fillId="0" borderId="0" xfId="29" applyFont="1" applyFill="1"/>
    <xf numFmtId="0" fontId="28" fillId="0" borderId="0" xfId="29" applyFont="1" applyFill="1" applyAlignment="1">
      <alignment horizontal="center"/>
    </xf>
    <xf numFmtId="41" fontId="28" fillId="0" borderId="0" xfId="32" applyNumberFormat="1" applyFont="1" applyFill="1" applyAlignment="1">
      <alignment horizontal="center"/>
    </xf>
    <xf numFmtId="41" fontId="28" fillId="0" borderId="0" xfId="32" applyNumberFormat="1" applyFont="1" applyFill="1"/>
    <xf numFmtId="165" fontId="31" fillId="0" borderId="0" xfId="1" applyNumberFormat="1" applyFont="1" applyFill="1"/>
    <xf numFmtId="0" fontId="9" fillId="0" borderId="0" xfId="0" applyFont="1"/>
    <xf numFmtId="165" fontId="28" fillId="0" borderId="0" xfId="30" applyNumberFormat="1" applyFont="1" applyAlignment="1">
      <alignment horizontal="right"/>
    </xf>
    <xf numFmtId="165" fontId="28" fillId="0" borderId="0" xfId="30" applyNumberFormat="1" applyFont="1"/>
    <xf numFmtId="165" fontId="9" fillId="0" borderId="0" xfId="0" applyNumberFormat="1" applyFont="1"/>
    <xf numFmtId="0" fontId="18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2" xfId="0" quotePrefix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</cellXfs>
  <cellStyles count="35">
    <cellStyle name="Comma" xfId="1" builtinId="3"/>
    <cellStyle name="Comma 2" xfId="2" xr:uid="{00000000-0005-0000-0000-000001000000}"/>
    <cellStyle name="Comma 2 2" xfId="14" xr:uid="{1C9077E0-5527-45A6-8EEF-D5F248207782}"/>
    <cellStyle name="Comma 3" xfId="3" xr:uid="{00000000-0005-0000-0000-000002000000}"/>
    <cellStyle name="Comma 3 2" xfId="19" xr:uid="{3120B3EF-49C7-4F29-8FAD-0F36D06DEE97}"/>
    <cellStyle name="Comma 4" xfId="26" xr:uid="{72CFA3EC-CECD-491F-ADC8-BC4C3EA901CF}"/>
    <cellStyle name="Comma 5" xfId="28" xr:uid="{70FA35DD-5A4C-4F46-9C0F-4EF98207937B}"/>
    <cellStyle name="Comma 5 2" xfId="31" xr:uid="{1A54A7D5-5C84-48D6-943B-F788A3F8D756}"/>
    <cellStyle name="Currency" xfId="32" builtinId="4"/>
    <cellStyle name="Currency 2" xfId="34" xr:uid="{8219487F-D241-4C0D-8320-8F18D40FD705}"/>
    <cellStyle name="Hyperlink" xfId="4" builtinId="8"/>
    <cellStyle name="Hyperlink 2" xfId="5" xr:uid="{00000000-0005-0000-0000-000004000000}"/>
    <cellStyle name="Hyperlink 3" xfId="6" xr:uid="{00000000-0005-0000-0000-000005000000}"/>
    <cellStyle name="Normal" xfId="0" builtinId="0"/>
    <cellStyle name="Normal 10" xfId="27" xr:uid="{89A3A5E2-F786-4249-BED3-9C369DE53169}"/>
    <cellStyle name="Normal 11" xfId="29" xr:uid="{4B9E3B86-F018-48E8-A1B7-B09DE503DA20}"/>
    <cellStyle name="Normal 11 2" xfId="30" xr:uid="{75FDC25E-C28E-497B-82EF-A28CA2584098}"/>
    <cellStyle name="Normal 11 3" xfId="33" xr:uid="{5440E113-77DF-4DAD-9026-4858CCB03DB9}"/>
    <cellStyle name="Normal 2" xfId="7" xr:uid="{00000000-0005-0000-0000-000007000000}"/>
    <cellStyle name="Normal 2 2" xfId="8" xr:uid="{00000000-0005-0000-0000-000008000000}"/>
    <cellStyle name="Normal 2 2 2" xfId="20" xr:uid="{4218E9B5-D982-4A69-9450-7E22F3E734BF}"/>
    <cellStyle name="Normal 3" xfId="9" xr:uid="{00000000-0005-0000-0000-000009000000}"/>
    <cellStyle name="Normal 3 2" xfId="21" xr:uid="{70607CDE-CC71-4B27-B690-3D2401DD0B38}"/>
    <cellStyle name="Normal 4" xfId="10" xr:uid="{00000000-0005-0000-0000-00000A000000}"/>
    <cellStyle name="Normal 4 2" xfId="15" xr:uid="{4805FFD6-0377-46EF-881C-FDB9DF487011}"/>
    <cellStyle name="Normal 5" xfId="11" xr:uid="{00000000-0005-0000-0000-00000B000000}"/>
    <cellStyle name="Normal 5 2" xfId="22" xr:uid="{906AD1FA-0DAF-4AED-832F-0612469F913A}"/>
    <cellStyle name="Normal 6" xfId="13" xr:uid="{EBE75F6A-C88B-45B8-A8CA-B04BAAF6B28C}"/>
    <cellStyle name="Normal 7" xfId="16" xr:uid="{3D34A042-2E55-4E8C-B59D-A542FFF81875}"/>
    <cellStyle name="Normal 8" xfId="17" xr:uid="{143C9F5F-F88C-47AA-BCFD-A8A982B2D432}"/>
    <cellStyle name="Normal 8 2" xfId="18" xr:uid="{7A34C163-7F3A-42B6-97BB-A06A0BE76841}"/>
    <cellStyle name="Normal 8 2 2" xfId="24" xr:uid="{A6D8C73B-EA27-43A5-9A18-2BFF8F10C0A2}"/>
    <cellStyle name="Normal 8 3" xfId="23" xr:uid="{A94EEB1A-B27E-4B51-9834-B757898F882E}"/>
    <cellStyle name="Normal 9" xfId="25" xr:uid="{AF562AB2-2E7D-4C04-814F-6AC30A92CE3A}"/>
    <cellStyle name="Percent" xfId="12" builtinId="5"/>
  </cellStyles>
  <dxfs count="0"/>
  <tableStyles count="0" defaultTableStyle="TableStyleMedium9" defaultPivotStyle="PivotStyleLight16"/>
  <colors>
    <mruColors>
      <color rgb="FF0000FF"/>
      <color rgb="FFFFCF01"/>
      <color rgb="FF0066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2020/21</a:t>
            </a:r>
            <a:r>
              <a:rPr lang="en-US" sz="1050" b="1" baseline="0"/>
              <a:t> soybean meal vs. soybean oil prices</a:t>
            </a:r>
            <a:endParaRPr lang="en-US" sz="1050" b="1"/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23896844803E-2"/>
          <c:y val="0.15076272517217398"/>
          <c:w val="0.79446092392393375"/>
          <c:h val="0.61935891827624112"/>
        </c:manualLayout>
      </c:layout>
      <c:lineChart>
        <c:grouping val="standard"/>
        <c:varyColors val="0"/>
        <c:ser>
          <c:idx val="1"/>
          <c:order val="1"/>
          <c:tx>
            <c:strRef>
              <c:f>Cover!$C$1</c:f>
              <c:strCache>
                <c:ptCount val="1"/>
                <c:pt idx="0">
                  <c:v>Soybean oil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Cover!$A$2:$A$13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</c:v>
                </c:pt>
                <c:pt idx="11">
                  <c:v>Sept</c:v>
                </c:pt>
              </c:strCache>
            </c:strRef>
          </c:cat>
          <c:val>
            <c:numRef>
              <c:f>Cover!$C$2:$C$13</c:f>
              <c:numCache>
                <c:formatCode>_(* #,##0_);_(* \(#,##0\);_(* "-"??_);_(@_)</c:formatCode>
                <c:ptCount val="12"/>
                <c:pt idx="0">
                  <c:v>33.909999999999997</c:v>
                </c:pt>
                <c:pt idx="1">
                  <c:v>37.79</c:v>
                </c:pt>
                <c:pt idx="2">
                  <c:v>40.85</c:v>
                </c:pt>
                <c:pt idx="3">
                  <c:v>44.31</c:v>
                </c:pt>
                <c:pt idx="4">
                  <c:v>48.37</c:v>
                </c:pt>
                <c:pt idx="5">
                  <c:v>56</c:v>
                </c:pt>
                <c:pt idx="6">
                  <c:v>62.88</c:v>
                </c:pt>
                <c:pt idx="7">
                  <c:v>74.75</c:v>
                </c:pt>
                <c:pt idx="8">
                  <c:v>74.75</c:v>
                </c:pt>
                <c:pt idx="9">
                  <c:v>72.930000000000007</c:v>
                </c:pt>
                <c:pt idx="10">
                  <c:v>70.010000000000005</c:v>
                </c:pt>
                <c:pt idx="11">
                  <c:v>65.930000000000007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426-4F20-B890-26E899725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172272"/>
        <c:axId val="667170632"/>
      </c:lineChart>
      <c:lineChart>
        <c:grouping val="standard"/>
        <c:varyColors val="0"/>
        <c:ser>
          <c:idx val="0"/>
          <c:order val="0"/>
          <c:tx>
            <c:strRef>
              <c:f>Cover!$B$1</c:f>
              <c:strCache>
                <c:ptCount val="1"/>
                <c:pt idx="0">
                  <c:v>Soybean meal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Cover!$A$2:$A$13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</c:v>
                </c:pt>
                <c:pt idx="11">
                  <c:v>Sept</c:v>
                </c:pt>
              </c:strCache>
            </c:strRef>
          </c:cat>
          <c:val>
            <c:numRef>
              <c:f>Cover!$B$2:$B$13</c:f>
              <c:numCache>
                <c:formatCode>_(* #,##0_);_(* \(#,##0\);_(* "-"??_);_(@_)</c:formatCode>
                <c:ptCount val="12"/>
                <c:pt idx="0">
                  <c:v>367.11</c:v>
                </c:pt>
                <c:pt idx="1">
                  <c:v>387.83</c:v>
                </c:pt>
                <c:pt idx="2">
                  <c:v>396.68</c:v>
                </c:pt>
                <c:pt idx="3">
                  <c:v>439.24</c:v>
                </c:pt>
                <c:pt idx="4">
                  <c:v>427.28</c:v>
                </c:pt>
                <c:pt idx="5">
                  <c:v>410.02</c:v>
                </c:pt>
                <c:pt idx="6">
                  <c:v>413.36</c:v>
                </c:pt>
                <c:pt idx="7">
                  <c:v>421.03</c:v>
                </c:pt>
                <c:pt idx="8">
                  <c:v>378.18</c:v>
                </c:pt>
                <c:pt idx="9">
                  <c:v>365.23</c:v>
                </c:pt>
                <c:pt idx="10">
                  <c:v>358.21</c:v>
                </c:pt>
                <c:pt idx="11">
                  <c:v>343.55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426-4F20-B890-26E899725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50512"/>
        <c:axId val="158435536"/>
      </c:lineChart>
      <c:catAx>
        <c:axId val="6671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1"/>
      </c:catAx>
      <c:valAx>
        <c:axId val="66717063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Soybean meal price, dollars per short ton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0.82135991851912382"/>
              <c:y val="4.70612647778002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</c:valAx>
      <c:valAx>
        <c:axId val="158435536"/>
        <c:scaling>
          <c:orientation val="minMax"/>
          <c:min val="3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Soybean</a:t>
                </a:r>
                <a:r>
                  <a:rPr lang="en-US" sz="900" baseline="0"/>
                  <a:t> oil price, cents per pound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6550592362263026E-3"/>
              <c:y val="4.6446317607734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450512"/>
        <c:crosses val="max"/>
        <c:crossBetween val="between"/>
      </c:valAx>
      <c:catAx>
        <c:axId val="15845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435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756992048201093"/>
          <c:y val="0.87504402494559974"/>
          <c:w val="0.39176463551376672"/>
          <c:h val="5.6945639642187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 baseline="0"/>
              <a:t>Historical U.S. soybean supply and demand</a:t>
            </a:r>
            <a:endParaRPr lang="en-US" sz="1050" b="1"/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30226102837E-2"/>
          <c:y val="0.15432402317634825"/>
          <c:w val="0.79446092392393375"/>
          <c:h val="0.66209404248997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1'!$C$1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'Figure 1'!$A$2:$A$11</c:f>
              <c:strCache>
                <c:ptCount val="10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</c:strCache>
            </c:strRef>
          </c:cat>
          <c:val>
            <c:numRef>
              <c:f>'Figure 1'!$C$2:$C$11</c:f>
              <c:numCache>
                <c:formatCode>_(* #,##0_);_(* \(#,##0\);_(* "-"??_);_(@_)</c:formatCode>
                <c:ptCount val="10"/>
                <c:pt idx="0">
                  <c:v>3042.0439999999999</c:v>
                </c:pt>
                <c:pt idx="1">
                  <c:v>3357.0039999999999</c:v>
                </c:pt>
                <c:pt idx="2">
                  <c:v>3928.07</c:v>
                </c:pt>
                <c:pt idx="3">
                  <c:v>3926.779</c:v>
                </c:pt>
                <c:pt idx="4">
                  <c:v>4296.4960000000001</c:v>
                </c:pt>
                <c:pt idx="5">
                  <c:v>4411.6329999999998</c:v>
                </c:pt>
                <c:pt idx="6">
                  <c:v>4428.1499999999996</c:v>
                </c:pt>
                <c:pt idx="7">
                  <c:v>3551.9079999999999</c:v>
                </c:pt>
                <c:pt idx="8">
                  <c:v>4216.3019999999997</c:v>
                </c:pt>
                <c:pt idx="9">
                  <c:v>4448.0429999999997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20-4FD1-A655-FBCC63F3B49D}"/>
            </c:ext>
          </c:extLst>
        </c:ser>
        <c:ser>
          <c:idx val="1"/>
          <c:order val="1"/>
          <c:tx>
            <c:strRef>
              <c:f>'Figure 1'!$B$1</c:f>
              <c:strCache>
                <c:ptCount val="1"/>
                <c:pt idx="0">
                  <c:v>Beginning stocks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'Figure 1'!$A$2:$A$11</c:f>
              <c:strCache>
                <c:ptCount val="10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</c:strCache>
            </c:strRef>
          </c:cat>
          <c:val>
            <c:numRef>
              <c:f>'Figure 1'!$B$2:$B$11</c:f>
              <c:numCache>
                <c:formatCode>_(* #,##0_);_(* \(#,##0\);_(* "-"??_);_(@_)</c:formatCode>
                <c:ptCount val="10"/>
                <c:pt idx="0">
                  <c:v>169.37</c:v>
                </c:pt>
                <c:pt idx="1">
                  <c:v>140.55699999999999</c:v>
                </c:pt>
                <c:pt idx="2">
                  <c:v>91.991</c:v>
                </c:pt>
                <c:pt idx="3">
                  <c:v>190.61</c:v>
                </c:pt>
                <c:pt idx="4">
                  <c:v>196.72900000000001</c:v>
                </c:pt>
                <c:pt idx="5">
                  <c:v>301.59500000000003</c:v>
                </c:pt>
                <c:pt idx="6">
                  <c:v>438.10500000000002</c:v>
                </c:pt>
                <c:pt idx="7">
                  <c:v>909.05200000000002</c:v>
                </c:pt>
                <c:pt idx="8">
                  <c:v>524.54100000000005</c:v>
                </c:pt>
                <c:pt idx="9">
                  <c:v>256.17899999999997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20-4FD1-A655-FBCC63F3B49D}"/>
            </c:ext>
          </c:extLst>
        </c:ser>
        <c:ser>
          <c:idx val="2"/>
          <c:order val="2"/>
          <c:tx>
            <c:strRef>
              <c:f>'Figure 1'!$D$1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'Figure 1'!$A$2:$A$11</c:f>
              <c:strCache>
                <c:ptCount val="10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</c:strCache>
            </c:strRef>
          </c:cat>
          <c:val>
            <c:numRef>
              <c:f>'Figure 1'!$D$2:$D$11</c:f>
              <c:numCache>
                <c:formatCode>_(* #,##0_);_(* \(#,##0\);_(* "-"??_);_(@_)</c:formatCode>
                <c:ptCount val="10"/>
                <c:pt idx="0">
                  <c:v>40.516451627971051</c:v>
                </c:pt>
                <c:pt idx="1">
                  <c:v>71.777067089328582</c:v>
                </c:pt>
                <c:pt idx="2">
                  <c:v>33.224684358547258</c:v>
                </c:pt>
                <c:pt idx="3">
                  <c:v>23.540916243907596</c:v>
                </c:pt>
                <c:pt idx="4">
                  <c:v>22.28071721060526</c:v>
                </c:pt>
                <c:pt idx="5">
                  <c:v>21.810500600727529</c:v>
                </c:pt>
                <c:pt idx="6">
                  <c:v>14.057280096340497</c:v>
                </c:pt>
                <c:pt idx="7">
                  <c:v>15.380505615977595</c:v>
                </c:pt>
                <c:pt idx="8">
                  <c:v>19.838285622956896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20-4FD1-A655-FBCC63F3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7172272"/>
        <c:axId val="667170632"/>
      </c:barChart>
      <c:lineChart>
        <c:grouping val="standard"/>
        <c:varyColors val="0"/>
        <c:ser>
          <c:idx val="3"/>
          <c:order val="3"/>
          <c:tx>
            <c:strRef>
              <c:f>'Figure 1'!$E$1</c:f>
              <c:strCache>
                <c:ptCount val="1"/>
                <c:pt idx="0">
                  <c:v>Domestic use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'Figure 1'!$A$2:$A$11</c:f>
              <c:strCache>
                <c:ptCount val="10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</c:strCache>
            </c:strRef>
          </c:cat>
          <c:val>
            <c:numRef>
              <c:f>'Figure 1'!$E$2:$E$11</c:f>
              <c:numCache>
                <c:formatCode>_(* #,##0_);_(* \(#,##0\);_(* "-"??_);_(@_)</c:formatCode>
                <c:ptCount val="10"/>
                <c:pt idx="0">
                  <c:v>3111.373451627971</c:v>
                </c:pt>
                <c:pt idx="1">
                  <c:v>3477.3470670893284</c:v>
                </c:pt>
                <c:pt idx="2">
                  <c:v>3862.6756843585472</c:v>
                </c:pt>
                <c:pt idx="3">
                  <c:v>3944.2009162439076</c:v>
                </c:pt>
                <c:pt idx="4">
                  <c:v>4213.9107172106051</c:v>
                </c:pt>
                <c:pt idx="5">
                  <c:v>4296.9335006007277</c:v>
                </c:pt>
                <c:pt idx="6">
                  <c:v>3971.26028009634</c:v>
                </c:pt>
                <c:pt idx="7">
                  <c:v>3951.7995056159775</c:v>
                </c:pt>
                <c:pt idx="8">
                  <c:v>4504.5022856229571</c:v>
                </c:pt>
                <c:pt idx="9">
                  <c:v>4399.2343902778393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20-4FD1-A655-FBCC63F3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172272"/>
        <c:axId val="667170632"/>
      </c:lineChart>
      <c:catAx>
        <c:axId val="66717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Marketing</a:t>
                </a:r>
                <a:r>
                  <a:rPr lang="en-US" sz="900" baseline="0"/>
                  <a:t> year</a:t>
                </a:r>
                <a:endParaRPr lang="en-US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0"/>
      </c:catAx>
      <c:valAx>
        <c:axId val="667170632"/>
        <c:scaling>
          <c:orientation val="minMax"/>
          <c:max val="5100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Million bushels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2515699320464854E-2"/>
              <c:y val="5.41727573803515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8828035688809983"/>
          <c:y val="2.6206992894687415E-4"/>
          <c:w val="0.21171964311190017"/>
          <c:h val="0.2228105886151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 baseline="0"/>
              <a:t>U.S. canola production and yield </a:t>
            </a:r>
            <a:endParaRPr lang="en-US" sz="1050" b="1"/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30226102837E-2"/>
          <c:y val="0.15432402317634825"/>
          <c:w val="0.79446092392393375"/>
          <c:h val="0.6620940424899716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'Figure 2'!$B$1</c:f>
              <c:strCache>
                <c:ptCount val="1"/>
                <c:pt idx="0">
                  <c:v>Harvested acres</c:v>
                </c:pt>
              </c:strCache>
            </c:strRef>
          </c:tx>
          <c:spPr>
            <a:pattFill prst="dk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2'!$A$2:$A$11</c:f>
              <c:strCache>
                <c:ptCount val="10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</c:strCache>
            </c:strRef>
          </c:cat>
          <c:val>
            <c:numRef>
              <c:f>'Figure 2'!$B$2:$B$11</c:f>
              <c:numCache>
                <c:formatCode>_(* #,##0_);_(* \(#,##0\);_(* "-"??_);_(@_)</c:formatCode>
                <c:ptCount val="10"/>
                <c:pt idx="0">
                  <c:v>1717.9</c:v>
                </c:pt>
                <c:pt idx="1">
                  <c:v>1264.5</c:v>
                </c:pt>
                <c:pt idx="2">
                  <c:v>1556.7</c:v>
                </c:pt>
                <c:pt idx="3">
                  <c:v>1713.5</c:v>
                </c:pt>
                <c:pt idx="4">
                  <c:v>1686.7</c:v>
                </c:pt>
                <c:pt idx="5">
                  <c:v>2002</c:v>
                </c:pt>
                <c:pt idx="6">
                  <c:v>1942.5</c:v>
                </c:pt>
                <c:pt idx="7">
                  <c:v>1909.5</c:v>
                </c:pt>
                <c:pt idx="8">
                  <c:v>1787.8</c:v>
                </c:pt>
                <c:pt idx="9">
                  <c:v>2104.5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A-4EF9-BCE3-3C28047C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172272"/>
        <c:axId val="667170632"/>
      </c:barChart>
      <c:lineChart>
        <c:grouping val="standard"/>
        <c:varyColors val="0"/>
        <c:ser>
          <c:idx val="1"/>
          <c:order val="0"/>
          <c:tx>
            <c:strRef>
              <c:f>'Figure 2'!$C$1</c:f>
              <c:strCache>
                <c:ptCount val="1"/>
                <c:pt idx="0">
                  <c:v>Yield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2'!$A$2:$A$11</c:f>
              <c:strCache>
                <c:ptCount val="10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</c:strCache>
            </c:strRef>
          </c:cat>
          <c:val>
            <c:numRef>
              <c:f>'Figure 2'!$C$2:$C$11</c:f>
              <c:numCache>
                <c:formatCode>_(* #,##0_);_(* \(#,##0\);_(* "-"??_);_(@_)</c:formatCode>
                <c:ptCount val="10"/>
                <c:pt idx="0">
                  <c:v>1392.1706734967113</c:v>
                </c:pt>
                <c:pt idx="1">
                  <c:v>1742.2340846184261</c:v>
                </c:pt>
                <c:pt idx="2">
                  <c:v>1610.197854435665</c:v>
                </c:pt>
                <c:pt idx="3">
                  <c:v>1678.7686022760433</c:v>
                </c:pt>
                <c:pt idx="4">
                  <c:v>1825.4520661647</c:v>
                </c:pt>
                <c:pt idx="5">
                  <c:v>1526.1788211788212</c:v>
                </c:pt>
                <c:pt idx="6">
                  <c:v>1861.2303732303733</c:v>
                </c:pt>
                <c:pt idx="7">
                  <c:v>1781.0238282272846</c:v>
                </c:pt>
                <c:pt idx="8">
                  <c:v>1931.4587761494574</c:v>
                </c:pt>
                <c:pt idx="9">
                  <c:v>1118.5934901401756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62-41EC-B3E2-EC7C7B677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874560"/>
        <c:axId val="1617874144"/>
      </c:lineChart>
      <c:catAx>
        <c:axId val="66717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Marketing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0"/>
      </c:catAx>
      <c:valAx>
        <c:axId val="667170632"/>
        <c:scaling>
          <c:orientation val="minMax"/>
          <c:max val="2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Thousand planted acres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2515699320464854E-2"/>
              <c:y val="5.41727573803515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  <c:majorUnit val="200"/>
      </c:valAx>
      <c:valAx>
        <c:axId val="161787414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Pounds per acre</a:t>
                </a:r>
              </a:p>
            </c:rich>
          </c:tx>
          <c:layout>
            <c:manualLayout>
              <c:xMode val="edge"/>
              <c:yMode val="edge"/>
              <c:x val="0.82398433396457238"/>
              <c:y val="5.13473371525567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874560"/>
        <c:crosses val="max"/>
        <c:crossBetween val="between"/>
      </c:valAx>
      <c:catAx>
        <c:axId val="161787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7874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5" name="Picture 1" descr="PrintLogo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6" name="Picture 2" descr="PrintLogo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7" name="Picture 3" descr="PrintLogo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8" name="Picture 4" descr="PrintLogo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9" name="Picture 5" descr="PrintLogo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0" name="Picture 6" descr="PrintLogo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1" name="Picture 7" descr="PrintLogo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2" name="Picture 8" descr="PrintLogo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3" name="Picture 9" descr="PrintLogo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4" name="Picture 10" descr="PrintLogo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5" name="Picture 11" descr="PrintLog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6" name="Picture 12" descr="PrintLog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7" name="Picture 13" descr="PrintLog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8" name="Picture 14" descr="PrintLog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9" name="Picture 15" descr="PrintLog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0" name="Picture 16" descr="PrintLog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1" name="Picture 17" descr="PrintLogo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2" name="Picture 18" descr="PrintLogo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3" name="Picture 19" descr="PrintLog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4" name="Picture 20" descr="PrintLogo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5" name="Picture 21" descr="PrintLogo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6" name="Picture 22" descr="PrintLogo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7" name="Picture 23" descr="PrintLogo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8" name="Picture 24" descr="PrintLogo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9" name="Picture 25" descr="PrintLogo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0" name="Picture 26" descr="PrintLogo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1" name="Picture 27" descr="PrintLog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2" name="Picture 28" descr="PrintLogo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3" name="Picture 29" descr="PrintLogo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4" name="Picture 30" descr="PrintLogo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5" name="Picture 31" descr="PrintLogo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6" name="Picture 32" descr="PrintLogo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7" name="Picture 33" descr="PrintLogo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8" name="Picture 34" descr="Print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9" name="Picture 35" descr="PrintLogo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0" name="Picture 36" descr="PrintLogo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1" name="Picture 37" descr="PrintLogo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2" name="Picture 38" descr="PrintLogo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3" name="Picture 39" descr="PrintLogo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4" name="Picture 40" descr="PrintLogo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5" name="Picture 41" descr="PrintLogo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6" name="Picture 42" descr="PrintLogo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67" name="Picture 2098" descr="PrintLogo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68" name="Picture 2099" descr="PrintLogo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69" name="Picture 2100" descr="PrintLogo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0" name="Picture 2101" descr="PrintLogo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1" name="Picture 2102" descr="PrintLogo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2" name="Picture 2103" descr="PrintLogo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3" name="Picture 2104" descr="PrintLogo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4" name="Picture 2105" descr="PrintLogo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97364</xdr:colOff>
      <xdr:row>0</xdr:row>
      <xdr:rowOff>73024</xdr:rowOff>
    </xdr:from>
    <xdr:to>
      <xdr:col>13</xdr:col>
      <xdr:colOff>105833</xdr:colOff>
      <xdr:row>19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14E9D9-15F9-4687-BA6F-D07839BF2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0.90976</cdr:y>
    </cdr:from>
    <cdr:to>
      <cdr:x>1</cdr:x>
      <cdr:y>0.99702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236075"/>
          <a:ext cx="5935135" cy="310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USDA, Agricultural Marketing Service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900" i="1" baseline="0">
              <a:latin typeface="Arial" panose="020B0604020202020204" pitchFamily="34" charset="0"/>
              <a:cs typeface="Arial" panose="020B0604020202020204" pitchFamily="34" charset="0"/>
            </a:rPr>
            <a:t>Monthly Feedstuff Prices.</a:t>
          </a:r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b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0</xdr:row>
      <xdr:rowOff>63500</xdr:rowOff>
    </xdr:from>
    <xdr:to>
      <xdr:col>15</xdr:col>
      <xdr:colOff>489796</xdr:colOff>
      <xdr:row>21</xdr:row>
      <xdr:rowOff>137584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89D511-50B7-4E33-8BD2-C444B8C42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0.92604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312583"/>
          <a:ext cx="5919047" cy="26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World Agricultural Outlook Board, </a:t>
          </a:r>
          <a:r>
            <a:rPr lang="en-US" sz="900" i="1" baseline="0">
              <a:latin typeface="Arial" panose="020B0604020202020204" pitchFamily="34" charset="0"/>
              <a:cs typeface="Arial" panose="020B0604020202020204" pitchFamily="34" charset="0"/>
            </a:rPr>
            <a:t>World Agricultural Supply and Demand Estimates.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39158</xdr:colOff>
      <xdr:row>0</xdr:row>
      <xdr:rowOff>0</xdr:rowOff>
    </xdr:from>
    <xdr:to>
      <xdr:col>13</xdr:col>
      <xdr:colOff>31538</xdr:colOff>
      <xdr:row>21</xdr:row>
      <xdr:rowOff>74084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8ECD55-6236-4F08-AF35-63B070774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0.9115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260603"/>
          <a:ext cx="5919046" cy="31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USDA, National Agricultural Statistics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Service</a:t>
          </a:r>
          <a:r>
            <a:rPr lang="en-US" sz="900" b="0" baseline="0"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900" b="0" i="1" baseline="0">
              <a:latin typeface="Arial" panose="020B0604020202020204" pitchFamily="34" charset="0"/>
              <a:cs typeface="Arial" panose="020B0604020202020204" pitchFamily="34" charset="0"/>
            </a:rPr>
            <a:t>Crop Production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12"/>
  </sheetPr>
  <dimension ref="A1:C18"/>
  <sheetViews>
    <sheetView tabSelected="1" workbookViewId="0">
      <selection activeCell="A2" sqref="A2"/>
    </sheetView>
  </sheetViews>
  <sheetFormatPr defaultColWidth="9.7109375" defaultRowHeight="14.25" x14ac:dyDescent="0.2"/>
  <cols>
    <col min="1" max="1" width="166.85546875" style="19" bestFit="1" customWidth="1"/>
    <col min="2" max="16384" width="9.7109375" style="1"/>
  </cols>
  <sheetData>
    <row r="1" spans="1:3" ht="44.25" customHeight="1" x14ac:dyDescent="0.2">
      <c r="A1" s="13"/>
    </row>
    <row r="2" spans="1:3" ht="15" x14ac:dyDescent="0.25">
      <c r="A2" s="14" t="s">
        <v>89</v>
      </c>
    </row>
    <row r="3" spans="1:3" s="2" customFormat="1" x14ac:dyDescent="0.2">
      <c r="A3" s="15"/>
    </row>
    <row r="4" spans="1:3" ht="15" x14ac:dyDescent="0.25">
      <c r="A4" s="14" t="s">
        <v>90</v>
      </c>
    </row>
    <row r="5" spans="1:3" ht="15" x14ac:dyDescent="0.25">
      <c r="A5" s="16">
        <f ca="1">TODAY()</f>
        <v>44482</v>
      </c>
      <c r="B5" s="3"/>
    </row>
    <row r="6" spans="1:3" s="2" customFormat="1" x14ac:dyDescent="0.2">
      <c r="A6" s="15"/>
      <c r="B6" s="3"/>
      <c r="C6" s="4"/>
    </row>
    <row r="7" spans="1:3" x14ac:dyDescent="0.2">
      <c r="A7" s="17" t="s">
        <v>141</v>
      </c>
      <c r="B7" s="5"/>
      <c r="C7" s="2"/>
    </row>
    <row r="8" spans="1:3" x14ac:dyDescent="0.2">
      <c r="A8" s="17" t="s">
        <v>132</v>
      </c>
      <c r="B8" s="6"/>
    </row>
    <row r="9" spans="1:3" x14ac:dyDescent="0.2">
      <c r="A9" s="17" t="s">
        <v>133</v>
      </c>
      <c r="B9" s="6"/>
    </row>
    <row r="10" spans="1:3" x14ac:dyDescent="0.2">
      <c r="A10" s="17" t="s">
        <v>134</v>
      </c>
      <c r="B10" s="6"/>
    </row>
    <row r="11" spans="1:3" x14ac:dyDescent="0.2">
      <c r="A11" s="17" t="s">
        <v>135</v>
      </c>
      <c r="B11" s="6"/>
    </row>
    <row r="12" spans="1:3" x14ac:dyDescent="0.2">
      <c r="A12" s="17" t="s">
        <v>136</v>
      </c>
      <c r="B12" s="6"/>
    </row>
    <row r="13" spans="1:3" x14ac:dyDescent="0.2">
      <c r="A13" s="17" t="s">
        <v>137</v>
      </c>
      <c r="B13" s="6"/>
    </row>
    <row r="14" spans="1:3" x14ac:dyDescent="0.2">
      <c r="A14" s="17" t="s">
        <v>138</v>
      </c>
      <c r="B14" s="6"/>
    </row>
    <row r="15" spans="1:3" x14ac:dyDescent="0.2">
      <c r="A15" s="17" t="s">
        <v>139</v>
      </c>
      <c r="B15" s="6"/>
    </row>
    <row r="16" spans="1:3" x14ac:dyDescent="0.2">
      <c r="A16" s="17" t="s">
        <v>140</v>
      </c>
      <c r="B16" s="6"/>
    </row>
    <row r="17" spans="1:2" x14ac:dyDescent="0.2">
      <c r="A17" s="18" t="s">
        <v>158</v>
      </c>
      <c r="B17" s="6"/>
    </row>
    <row r="18" spans="1:2" s="11" customFormat="1" ht="22.9" customHeight="1" x14ac:dyDescent="0.2">
      <c r="A18" s="7"/>
    </row>
  </sheetData>
  <hyperlinks>
    <hyperlink ref="A7" location="'Table 1'!A1" display="Table 1--Soybeans:  Annual U.S. supply and disappearance" xr:uid="{00000000-0004-0000-0000-000000000000}"/>
    <hyperlink ref="A8" location="'Table 2'!A1" display="Table 2--Soybean meal:  U.S. supply and disappearance" xr:uid="{00000000-0004-0000-0000-000001000000}"/>
    <hyperlink ref="A9" location="'Table 3'!A1" display="Table 3--Soybean oil:  U.S. supply and disappearance" xr:uid="{00000000-0004-0000-0000-000002000000}"/>
    <hyperlink ref="A10" location="'Tables 4-7'!A1" display="Table 4--Cottonseed:  U.S. supply and disappearance" xr:uid="{00000000-0004-0000-0000-000003000000}"/>
    <hyperlink ref="A11" location="'Tables 4-7'!A1" display="Table 5--Cottonseed meal:  U.S. supply and disappearance" xr:uid="{00000000-0004-0000-0000-000004000000}"/>
    <hyperlink ref="A12" location="'Tables 4-7'!A1" display="Table 6--Cottonseed oil:  U.S. supply and disappearance" xr:uid="{00000000-0004-0000-0000-000005000000}"/>
    <hyperlink ref="A13" location="'Tables 4-7'!A1" display="Table 7--Peanuts:  U.S. supply and disappearance" xr:uid="{00000000-0004-0000-0000-000006000000}"/>
    <hyperlink ref="A14" location="'Table 8'!A1" display="Table 8--Oilseed prices received by U.S. farmers" xr:uid="{00000000-0004-0000-0000-000007000000}"/>
    <hyperlink ref="A15" location="'Table 9'!A1" display="Table 9--U.S. vegetable oil and fats prices" xr:uid="{00000000-0004-0000-0000-000008000000}"/>
    <hyperlink ref="A16" location="'Table 10'!A1" display="Table 10--U.S. oilseed meal prices " xr:uid="{00000000-0004-0000-0000-000009000000}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746D-7AA0-4336-B54C-68FB16ED45FB}">
  <dimension ref="A1:H11"/>
  <sheetViews>
    <sheetView topLeftCell="B1" zoomScaleNormal="100" workbookViewId="0">
      <selection activeCell="B1" sqref="B1"/>
    </sheetView>
  </sheetViews>
  <sheetFormatPr defaultRowHeight="12.75" x14ac:dyDescent="0.2"/>
  <cols>
    <col min="1" max="2" width="10.42578125" style="161" customWidth="1"/>
    <col min="3" max="3" width="10.85546875" style="161" customWidth="1"/>
    <col min="4" max="4" width="8.140625" style="161" bestFit="1" customWidth="1"/>
    <col min="5" max="5" width="10.28515625" style="161" customWidth="1"/>
    <col min="6" max="16384" width="9.140625" style="161"/>
  </cols>
  <sheetData>
    <row r="1" spans="1:8" ht="25.5" x14ac:dyDescent="0.2">
      <c r="A1" s="155" t="s">
        <v>164</v>
      </c>
      <c r="B1" s="155" t="s">
        <v>180</v>
      </c>
      <c r="C1" s="155" t="s">
        <v>1</v>
      </c>
      <c r="D1" s="155" t="s">
        <v>2</v>
      </c>
      <c r="E1" s="155" t="s">
        <v>181</v>
      </c>
      <c r="F1" s="155" t="s">
        <v>182</v>
      </c>
    </row>
    <row r="2" spans="1:8" x14ac:dyDescent="0.2">
      <c r="A2" s="157" t="s">
        <v>66</v>
      </c>
      <c r="B2" s="160">
        <v>169.37</v>
      </c>
      <c r="C2" s="160">
        <v>3042.0439999999999</v>
      </c>
      <c r="D2" s="160">
        <v>40.516451627971051</v>
      </c>
      <c r="E2" s="160">
        <v>3111.373451627971</v>
      </c>
      <c r="F2" s="160">
        <v>140.55699999999999</v>
      </c>
      <c r="G2" s="164"/>
      <c r="H2" s="164"/>
    </row>
    <row r="3" spans="1:8" x14ac:dyDescent="0.2">
      <c r="A3" s="157" t="s">
        <v>72</v>
      </c>
      <c r="B3" s="160">
        <v>140.55699999999999</v>
      </c>
      <c r="C3" s="160">
        <v>3357.0039999999999</v>
      </c>
      <c r="D3" s="160">
        <v>71.777067089328582</v>
      </c>
      <c r="E3" s="160">
        <v>3477.3470670893284</v>
      </c>
      <c r="F3" s="160">
        <v>91.991</v>
      </c>
      <c r="G3" s="164"/>
      <c r="H3" s="164"/>
    </row>
    <row r="4" spans="1:8" x14ac:dyDescent="0.2">
      <c r="A4" s="157" t="s">
        <v>74</v>
      </c>
      <c r="B4" s="160">
        <v>91.991</v>
      </c>
      <c r="C4" s="160">
        <v>3928.07</v>
      </c>
      <c r="D4" s="160">
        <v>33.224684358547258</v>
      </c>
      <c r="E4" s="160">
        <v>3862.6756843585472</v>
      </c>
      <c r="F4" s="160">
        <v>190.61</v>
      </c>
      <c r="G4" s="164"/>
      <c r="H4" s="164"/>
    </row>
    <row r="5" spans="1:8" x14ac:dyDescent="0.2">
      <c r="A5" s="157" t="s">
        <v>75</v>
      </c>
      <c r="B5" s="160">
        <v>190.61</v>
      </c>
      <c r="C5" s="160">
        <v>3926.779</v>
      </c>
      <c r="D5" s="160">
        <v>23.540916243907596</v>
      </c>
      <c r="E5" s="160">
        <v>3944.2009162439076</v>
      </c>
      <c r="F5" s="160">
        <v>196.72900000000001</v>
      </c>
      <c r="G5" s="164"/>
      <c r="H5" s="164"/>
    </row>
    <row r="6" spans="1:8" x14ac:dyDescent="0.2">
      <c r="A6" s="157" t="s">
        <v>87</v>
      </c>
      <c r="B6" s="160">
        <v>196.72900000000001</v>
      </c>
      <c r="C6" s="160">
        <v>4296.4960000000001</v>
      </c>
      <c r="D6" s="160">
        <v>22.28071721060526</v>
      </c>
      <c r="E6" s="160">
        <v>4213.9107172106051</v>
      </c>
      <c r="F6" s="160">
        <v>301.59500000000003</v>
      </c>
      <c r="G6" s="164"/>
      <c r="H6" s="164"/>
    </row>
    <row r="7" spans="1:8" x14ac:dyDescent="0.2">
      <c r="A7" s="157" t="s">
        <v>88</v>
      </c>
      <c r="B7" s="160">
        <v>301.59500000000003</v>
      </c>
      <c r="C7" s="160">
        <v>4411.6329999999998</v>
      </c>
      <c r="D7" s="160">
        <v>21.810500600727529</v>
      </c>
      <c r="E7" s="160">
        <v>4296.9335006007277</v>
      </c>
      <c r="F7" s="160">
        <v>438.10500000000002</v>
      </c>
      <c r="G7" s="164"/>
      <c r="H7" s="164"/>
    </row>
    <row r="8" spans="1:8" x14ac:dyDescent="0.2">
      <c r="A8" s="157" t="s">
        <v>112</v>
      </c>
      <c r="B8" s="160">
        <v>438.10500000000002</v>
      </c>
      <c r="C8" s="160">
        <v>4428.1499999999996</v>
      </c>
      <c r="D8" s="160">
        <v>14.057280096340497</v>
      </c>
      <c r="E8" s="160">
        <v>3971.26028009634</v>
      </c>
      <c r="F8" s="160">
        <v>909.05200000000002</v>
      </c>
      <c r="G8" s="164"/>
      <c r="H8" s="164"/>
    </row>
    <row r="9" spans="1:8" x14ac:dyDescent="0.2">
      <c r="A9" s="157" t="s">
        <v>114</v>
      </c>
      <c r="B9" s="160">
        <v>909.05200000000002</v>
      </c>
      <c r="C9" s="160">
        <v>3551.9079999999999</v>
      </c>
      <c r="D9" s="160">
        <v>15.380505615977595</v>
      </c>
      <c r="E9" s="160">
        <v>3951.7995056159775</v>
      </c>
      <c r="F9" s="160">
        <v>524.54100000000005</v>
      </c>
      <c r="G9" s="164"/>
      <c r="H9" s="164"/>
    </row>
    <row r="10" spans="1:8" x14ac:dyDescent="0.2">
      <c r="A10" s="157" t="s">
        <v>122</v>
      </c>
      <c r="B10" s="160">
        <v>524.54100000000005</v>
      </c>
      <c r="C10" s="160">
        <v>4216.3019999999997</v>
      </c>
      <c r="D10" s="160">
        <v>19.838285622956896</v>
      </c>
      <c r="E10" s="160">
        <v>4504.5022856229571</v>
      </c>
      <c r="F10" s="160">
        <v>256.17899999999997</v>
      </c>
      <c r="G10" s="164"/>
      <c r="H10" s="164"/>
    </row>
    <row r="11" spans="1:8" x14ac:dyDescent="0.2">
      <c r="A11" s="157" t="s">
        <v>163</v>
      </c>
      <c r="B11" s="160">
        <v>256.17899999999997</v>
      </c>
      <c r="C11" s="160">
        <v>4448.0429999999997</v>
      </c>
      <c r="D11" s="160">
        <v>15</v>
      </c>
      <c r="E11" s="160">
        <v>4399.2343902778393</v>
      </c>
      <c r="F11" s="160">
        <v>319.98760972216041</v>
      </c>
      <c r="G11" s="164"/>
      <c r="H11" s="164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E89B-BBBD-459A-8FEA-58F14F1A810B}">
  <dimension ref="A1:C48"/>
  <sheetViews>
    <sheetView zoomScaleNormal="100" workbookViewId="0"/>
  </sheetViews>
  <sheetFormatPr defaultColWidth="8.85546875" defaultRowHeight="12.75" x14ac:dyDescent="0.2"/>
  <cols>
    <col min="1" max="1" width="10.42578125" style="156" customWidth="1"/>
    <col min="2" max="2" width="10.28515625" style="156" bestFit="1" customWidth="1"/>
    <col min="3" max="3" width="7.28515625" style="156" bestFit="1" customWidth="1"/>
    <col min="4" max="16384" width="8.85546875" style="156"/>
  </cols>
  <sheetData>
    <row r="1" spans="1:3" ht="25.5" x14ac:dyDescent="0.2">
      <c r="A1" s="155" t="s">
        <v>164</v>
      </c>
      <c r="B1" s="155" t="s">
        <v>162</v>
      </c>
      <c r="C1" s="155" t="s">
        <v>22</v>
      </c>
    </row>
    <row r="2" spans="1:3" x14ac:dyDescent="0.2">
      <c r="A2" s="157" t="s">
        <v>66</v>
      </c>
      <c r="B2" s="160">
        <v>1717.9</v>
      </c>
      <c r="C2" s="160">
        <v>1392.1706734967113</v>
      </c>
    </row>
    <row r="3" spans="1:3" x14ac:dyDescent="0.2">
      <c r="A3" s="157" t="s">
        <v>72</v>
      </c>
      <c r="B3" s="160">
        <v>1264.5</v>
      </c>
      <c r="C3" s="160">
        <v>1742.2340846184261</v>
      </c>
    </row>
    <row r="4" spans="1:3" x14ac:dyDescent="0.2">
      <c r="A4" s="157" t="s">
        <v>74</v>
      </c>
      <c r="B4" s="160">
        <v>1556.7</v>
      </c>
      <c r="C4" s="160">
        <v>1610.197854435665</v>
      </c>
    </row>
    <row r="5" spans="1:3" x14ac:dyDescent="0.2">
      <c r="A5" s="157" t="s">
        <v>75</v>
      </c>
      <c r="B5" s="160">
        <v>1713.5</v>
      </c>
      <c r="C5" s="160">
        <v>1678.7686022760433</v>
      </c>
    </row>
    <row r="6" spans="1:3" x14ac:dyDescent="0.2">
      <c r="A6" s="157" t="s">
        <v>87</v>
      </c>
      <c r="B6" s="160">
        <v>1686.7</v>
      </c>
      <c r="C6" s="160">
        <v>1825.4520661647</v>
      </c>
    </row>
    <row r="7" spans="1:3" x14ac:dyDescent="0.2">
      <c r="A7" s="157" t="s">
        <v>88</v>
      </c>
      <c r="B7" s="160">
        <v>2002</v>
      </c>
      <c r="C7" s="160">
        <v>1526.1788211788212</v>
      </c>
    </row>
    <row r="8" spans="1:3" x14ac:dyDescent="0.2">
      <c r="A8" s="157" t="s">
        <v>112</v>
      </c>
      <c r="B8" s="160">
        <v>1942.5</v>
      </c>
      <c r="C8" s="160">
        <v>1861.2303732303733</v>
      </c>
    </row>
    <row r="9" spans="1:3" x14ac:dyDescent="0.2">
      <c r="A9" s="157" t="s">
        <v>114</v>
      </c>
      <c r="B9" s="160">
        <v>1909.5</v>
      </c>
      <c r="C9" s="160">
        <v>1781.0238282272846</v>
      </c>
    </row>
    <row r="10" spans="1:3" x14ac:dyDescent="0.2">
      <c r="A10" s="157" t="s">
        <v>122</v>
      </c>
      <c r="B10" s="160">
        <v>1787.8</v>
      </c>
      <c r="C10" s="160">
        <v>1931.4587761494574</v>
      </c>
    </row>
    <row r="11" spans="1:3" x14ac:dyDescent="0.2">
      <c r="A11" s="157" t="s">
        <v>163</v>
      </c>
      <c r="B11" s="160">
        <v>2104.5</v>
      </c>
      <c r="C11" s="160">
        <v>1118.5934901401756</v>
      </c>
    </row>
    <row r="12" spans="1:3" x14ac:dyDescent="0.2">
      <c r="B12" s="159"/>
      <c r="C12" s="158"/>
    </row>
    <row r="13" spans="1:3" x14ac:dyDescent="0.2">
      <c r="B13" s="159"/>
      <c r="C13" s="158"/>
    </row>
    <row r="14" spans="1:3" x14ac:dyDescent="0.2">
      <c r="B14" s="159"/>
      <c r="C14" s="158"/>
    </row>
    <row r="15" spans="1:3" x14ac:dyDescent="0.2">
      <c r="B15" s="159"/>
      <c r="C15" s="158"/>
    </row>
    <row r="16" spans="1:3" x14ac:dyDescent="0.2">
      <c r="B16" s="159"/>
      <c r="C16" s="158"/>
    </row>
    <row r="17" spans="2:3" x14ac:dyDescent="0.2">
      <c r="B17" s="159"/>
      <c r="C17" s="158"/>
    </row>
    <row r="18" spans="2:3" x14ac:dyDescent="0.2">
      <c r="B18" s="159"/>
      <c r="C18" s="158"/>
    </row>
    <row r="19" spans="2:3" x14ac:dyDescent="0.2">
      <c r="B19" s="159"/>
      <c r="C19" s="158"/>
    </row>
    <row r="20" spans="2:3" x14ac:dyDescent="0.2">
      <c r="B20" s="159"/>
      <c r="C20" s="158"/>
    </row>
    <row r="21" spans="2:3" x14ac:dyDescent="0.2">
      <c r="B21" s="159"/>
      <c r="C21" s="159"/>
    </row>
    <row r="22" spans="2:3" x14ac:dyDescent="0.2">
      <c r="B22" s="159"/>
      <c r="C22" s="159"/>
    </row>
    <row r="23" spans="2:3" x14ac:dyDescent="0.2">
      <c r="B23" s="159"/>
      <c r="C23" s="159"/>
    </row>
    <row r="24" spans="2:3" x14ac:dyDescent="0.2">
      <c r="B24" s="159"/>
      <c r="C24" s="159"/>
    </row>
    <row r="25" spans="2:3" x14ac:dyDescent="0.2">
      <c r="B25" s="159"/>
      <c r="C25" s="159"/>
    </row>
    <row r="26" spans="2:3" x14ac:dyDescent="0.2">
      <c r="B26" s="159"/>
      <c r="C26" s="159"/>
    </row>
    <row r="27" spans="2:3" x14ac:dyDescent="0.2">
      <c r="B27" s="159"/>
      <c r="C27" s="159"/>
    </row>
    <row r="28" spans="2:3" x14ac:dyDescent="0.2">
      <c r="B28" s="159"/>
      <c r="C28" s="159"/>
    </row>
    <row r="29" spans="2:3" x14ac:dyDescent="0.2">
      <c r="B29" s="159"/>
      <c r="C29" s="159"/>
    </row>
    <row r="30" spans="2:3" x14ac:dyDescent="0.2">
      <c r="B30" s="159"/>
      <c r="C30" s="159"/>
    </row>
    <row r="31" spans="2:3" x14ac:dyDescent="0.2">
      <c r="B31" s="159"/>
      <c r="C31" s="159"/>
    </row>
    <row r="32" spans="2:3" x14ac:dyDescent="0.2">
      <c r="B32" s="159"/>
      <c r="C32" s="159"/>
    </row>
    <row r="33" spans="2:3" x14ac:dyDescent="0.2">
      <c r="B33" s="159"/>
      <c r="C33" s="159"/>
    </row>
    <row r="34" spans="2:3" x14ac:dyDescent="0.2">
      <c r="B34" s="159"/>
      <c r="C34" s="159"/>
    </row>
    <row r="35" spans="2:3" x14ac:dyDescent="0.2">
      <c r="B35" s="159"/>
      <c r="C35" s="159"/>
    </row>
    <row r="36" spans="2:3" x14ac:dyDescent="0.2">
      <c r="B36" s="159"/>
      <c r="C36" s="159"/>
    </row>
    <row r="37" spans="2:3" x14ac:dyDescent="0.2">
      <c r="B37" s="159"/>
      <c r="C37" s="159"/>
    </row>
    <row r="38" spans="2:3" x14ac:dyDescent="0.2">
      <c r="B38" s="159"/>
      <c r="C38" s="159"/>
    </row>
    <row r="39" spans="2:3" x14ac:dyDescent="0.2">
      <c r="B39" s="159"/>
      <c r="C39" s="159"/>
    </row>
    <row r="40" spans="2:3" x14ac:dyDescent="0.2">
      <c r="B40" s="159"/>
      <c r="C40" s="159"/>
    </row>
    <row r="41" spans="2:3" x14ac:dyDescent="0.2">
      <c r="B41" s="159"/>
      <c r="C41" s="159"/>
    </row>
    <row r="42" spans="2:3" x14ac:dyDescent="0.2">
      <c r="B42" s="159"/>
      <c r="C42" s="159"/>
    </row>
    <row r="43" spans="2:3" x14ac:dyDescent="0.2">
      <c r="B43" s="159"/>
      <c r="C43" s="159"/>
    </row>
    <row r="44" spans="2:3" x14ac:dyDescent="0.2">
      <c r="B44" s="159"/>
      <c r="C44" s="159"/>
    </row>
    <row r="45" spans="2:3" x14ac:dyDescent="0.2">
      <c r="B45" s="159"/>
      <c r="C45" s="159"/>
    </row>
    <row r="46" spans="2:3" x14ac:dyDescent="0.2">
      <c r="B46" s="159"/>
      <c r="C46" s="159"/>
    </row>
    <row r="47" spans="2:3" x14ac:dyDescent="0.2">
      <c r="B47" s="159"/>
      <c r="C47" s="159"/>
    </row>
    <row r="48" spans="2:3" x14ac:dyDescent="0.2">
      <c r="B48" s="159"/>
      <c r="C48" s="159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U547"/>
  <sheetViews>
    <sheetView showGridLines="0" zoomScaleNormal="100" workbookViewId="0"/>
  </sheetViews>
  <sheetFormatPr defaultRowHeight="12.75" x14ac:dyDescent="0.2"/>
  <cols>
    <col min="1" max="1" width="21.7109375" style="25" customWidth="1"/>
    <col min="2" max="2" width="11.5703125" style="25" customWidth="1"/>
    <col min="3" max="3" width="9.5703125" style="25" customWidth="1"/>
    <col min="4" max="4" width="26.7109375" style="25" customWidth="1"/>
    <col min="5" max="5" width="9.7109375" style="25" customWidth="1"/>
    <col min="6" max="6" width="10.7109375" style="25" customWidth="1"/>
    <col min="7" max="7" width="7.7109375" style="25" customWidth="1"/>
    <col min="8" max="8" width="9.7109375" style="25" customWidth="1"/>
    <col min="9" max="9" width="1.7109375" style="25" customWidth="1"/>
    <col min="10" max="10" width="9.7109375" style="25" customWidth="1"/>
    <col min="11" max="12" width="10.7109375" style="25" customWidth="1"/>
    <col min="13" max="13" width="10.28515625" style="25" customWidth="1"/>
    <col min="14" max="14" width="9.7109375" style="25" customWidth="1"/>
    <col min="15" max="16" width="9.140625" style="25"/>
    <col min="17" max="17" width="15.42578125" style="25" bestFit="1" customWidth="1"/>
    <col min="18" max="18" width="10.140625" style="25" bestFit="1" customWidth="1"/>
    <col min="19" max="16384" width="9.140625" style="25"/>
  </cols>
  <sheetData>
    <row r="1" spans="1:23" ht="14.25" x14ac:dyDescent="0.2">
      <c r="A1" s="24" t="s">
        <v>141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3" ht="14.25" x14ac:dyDescent="0.2">
      <c r="A2" s="26"/>
      <c r="B2" s="27" t="s">
        <v>19</v>
      </c>
      <c r="C2" s="69"/>
      <c r="D2" s="28" t="s">
        <v>22</v>
      </c>
      <c r="E2" s="29"/>
      <c r="F2" s="69" t="s">
        <v>67</v>
      </c>
      <c r="G2" s="69"/>
      <c r="H2" s="69"/>
      <c r="I2" s="30"/>
      <c r="J2" s="29"/>
      <c r="K2" s="69"/>
      <c r="L2" s="31" t="s">
        <v>57</v>
      </c>
      <c r="M2" s="69"/>
      <c r="N2" s="26"/>
    </row>
    <row r="3" spans="1:23" ht="14.25" x14ac:dyDescent="0.2">
      <c r="A3" s="26" t="s">
        <v>61</v>
      </c>
      <c r="B3" s="28" t="s">
        <v>20</v>
      </c>
      <c r="C3" s="26" t="s">
        <v>21</v>
      </c>
      <c r="D3" s="28"/>
      <c r="E3" s="32" t="s">
        <v>8</v>
      </c>
      <c r="F3" s="32"/>
      <c r="G3" s="32"/>
      <c r="H3" s="32"/>
      <c r="I3" s="32"/>
      <c r="J3" s="28" t="s">
        <v>59</v>
      </c>
      <c r="K3" s="32" t="s">
        <v>73</v>
      </c>
      <c r="L3" s="32"/>
      <c r="M3" s="32"/>
      <c r="N3" s="32" t="s">
        <v>6</v>
      </c>
    </row>
    <row r="4" spans="1:23" ht="14.25" x14ac:dyDescent="0.2">
      <c r="A4" s="33" t="s">
        <v>64</v>
      </c>
      <c r="B4" s="34"/>
      <c r="C4" s="34"/>
      <c r="D4" s="34"/>
      <c r="E4" s="35" t="s">
        <v>7</v>
      </c>
      <c r="F4" s="35" t="s">
        <v>1</v>
      </c>
      <c r="G4" s="36" t="s">
        <v>2</v>
      </c>
      <c r="H4" s="37" t="s">
        <v>3</v>
      </c>
      <c r="I4" s="36"/>
      <c r="J4" s="36"/>
      <c r="K4" s="36" t="s">
        <v>174</v>
      </c>
      <c r="L4" s="37" t="s">
        <v>4</v>
      </c>
      <c r="M4" s="35" t="s">
        <v>3</v>
      </c>
      <c r="N4" s="36" t="s">
        <v>7</v>
      </c>
      <c r="W4" s="38"/>
    </row>
    <row r="5" spans="1:23" ht="14.25" x14ac:dyDescent="0.2">
      <c r="A5" s="26"/>
      <c r="B5" s="39" t="s">
        <v>68</v>
      </c>
      <c r="C5" s="70"/>
      <c r="D5" s="40" t="s">
        <v>124</v>
      </c>
      <c r="G5" s="39"/>
      <c r="I5" s="39"/>
      <c r="J5" s="39" t="s">
        <v>113</v>
      </c>
      <c r="K5" s="39"/>
      <c r="L5" s="39"/>
      <c r="M5" s="39"/>
      <c r="N5" s="39"/>
      <c r="W5" s="38"/>
    </row>
    <row r="6" spans="1:23" ht="16.5" customHeight="1" x14ac:dyDescent="0.2">
      <c r="A6" s="26" t="s">
        <v>114</v>
      </c>
      <c r="B6" s="41">
        <v>76.099999999999994</v>
      </c>
      <c r="C6" s="41">
        <v>74.938999999999993</v>
      </c>
      <c r="D6" s="41">
        <f>F6/C6</f>
        <v>47.397323156167019</v>
      </c>
      <c r="E6" s="42">
        <v>909</v>
      </c>
      <c r="F6" s="43">
        <f>F28</f>
        <v>3551.9079999999999</v>
      </c>
      <c r="G6" s="44">
        <f t="shared" ref="G6:M6" si="0">G28</f>
        <v>15.380623192800002</v>
      </c>
      <c r="H6" s="44">
        <f t="shared" si="0"/>
        <v>4476.3406231928002</v>
      </c>
      <c r="I6" s="43">
        <f t="shared" si="0"/>
        <v>0</v>
      </c>
      <c r="J6" s="43">
        <f t="shared" si="0"/>
        <v>2164.571916009776</v>
      </c>
      <c r="K6" s="43">
        <f t="shared" si="0"/>
        <v>107.97710436542383</v>
      </c>
      <c r="L6" s="44">
        <f t="shared" si="0"/>
        <v>1679.2506028176001</v>
      </c>
      <c r="M6" s="44">
        <f t="shared" si="0"/>
        <v>3951.7996231928005</v>
      </c>
      <c r="N6" s="44">
        <f>H6-M6</f>
        <v>524.54099999999971</v>
      </c>
    </row>
    <row r="7" spans="1:23" ht="16.5" customHeight="1" x14ac:dyDescent="0.2">
      <c r="A7" s="26" t="s">
        <v>117</v>
      </c>
      <c r="B7" s="41">
        <v>83.353999999999999</v>
      </c>
      <c r="C7" s="41">
        <v>82.602999999999994</v>
      </c>
      <c r="D7" s="41">
        <f>F7/C7</f>
        <v>51.042964541239421</v>
      </c>
      <c r="E7" s="42">
        <f>N6</f>
        <v>524.54099999999971</v>
      </c>
      <c r="F7" s="43">
        <f>F47</f>
        <v>4216.3019999999997</v>
      </c>
      <c r="G7" s="44">
        <f>G47</f>
        <v>19.838438342399996</v>
      </c>
      <c r="H7" s="44">
        <f>SUM(E7:G7)</f>
        <v>4760.6814383423989</v>
      </c>
      <c r="I7" s="26"/>
      <c r="J7" s="43">
        <f>J47</f>
        <v>2140.6021535309255</v>
      </c>
      <c r="K7" s="43">
        <f>K47</f>
        <v>98.451103312274427</v>
      </c>
      <c r="L7" s="44">
        <f>L47</f>
        <v>2265.4491814991998</v>
      </c>
      <c r="M7" s="44">
        <f>SUM(J7:L7)</f>
        <v>4504.5024383423997</v>
      </c>
      <c r="N7" s="44">
        <f t="shared" ref="N7:N8" si="1">H7-M7</f>
        <v>256.17899999999918</v>
      </c>
    </row>
    <row r="8" spans="1:23" ht="16.5" customHeight="1" x14ac:dyDescent="0.2">
      <c r="A8" s="26" t="s">
        <v>147</v>
      </c>
      <c r="B8" s="41">
        <v>87.234999999999999</v>
      </c>
      <c r="C8" s="41">
        <v>86.436000000000007</v>
      </c>
      <c r="D8" s="41">
        <f>F8/C8</f>
        <v>51.460537276134936</v>
      </c>
      <c r="E8" s="42">
        <f>N7</f>
        <v>256.17899999999918</v>
      </c>
      <c r="F8" s="43">
        <v>4448.0429999999997</v>
      </c>
      <c r="G8" s="44">
        <v>15</v>
      </c>
      <c r="H8" s="44">
        <f>SUM(E8:G8)</f>
        <v>4719.2219999999988</v>
      </c>
      <c r="I8" s="26"/>
      <c r="J8" s="43">
        <v>2190</v>
      </c>
      <c r="K8" s="43">
        <v>118.86381027784</v>
      </c>
      <c r="L8" s="44">
        <v>2090</v>
      </c>
      <c r="M8" s="44">
        <f>SUM(J8:L8)</f>
        <v>4398.8638102778405</v>
      </c>
      <c r="N8" s="44">
        <f t="shared" si="1"/>
        <v>320.35818972215839</v>
      </c>
    </row>
    <row r="9" spans="1:23" ht="16.5" customHeight="1" x14ac:dyDescent="0.2">
      <c r="A9" s="30"/>
      <c r="B9" s="30"/>
      <c r="C9" s="30"/>
      <c r="D9" s="30"/>
      <c r="E9" s="45"/>
      <c r="F9" s="45"/>
      <c r="G9" s="46"/>
      <c r="H9" s="45"/>
      <c r="I9" s="45"/>
      <c r="J9" s="46"/>
      <c r="K9" s="46"/>
      <c r="L9" s="46"/>
      <c r="M9" s="46"/>
      <c r="N9" s="46"/>
    </row>
    <row r="10" spans="1:23" ht="16.5" customHeight="1" x14ac:dyDescent="0.2">
      <c r="A10" s="30" t="s">
        <v>125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47"/>
    </row>
    <row r="11" spans="1:23" ht="16.5" customHeight="1" x14ac:dyDescent="0.25">
      <c r="A11" s="48" t="s">
        <v>114</v>
      </c>
      <c r="B11" s="49"/>
      <c r="C11" s="49"/>
      <c r="D11" s="49"/>
      <c r="E11" s="49"/>
      <c r="F11" s="49"/>
      <c r="G11" s="12"/>
      <c r="H11" s="20"/>
      <c r="I11" s="50"/>
      <c r="J11" s="20"/>
      <c r="K11" s="20"/>
      <c r="L11" s="12"/>
      <c r="M11" s="12"/>
      <c r="N11" s="49"/>
    </row>
    <row r="12" spans="1:23" ht="16.5" customHeight="1" x14ac:dyDescent="0.2">
      <c r="A12" s="30" t="s">
        <v>76</v>
      </c>
      <c r="B12" s="49"/>
      <c r="C12" s="49"/>
      <c r="D12" s="20"/>
      <c r="G12" s="12">
        <f>(31910.9*36.744)/1000000</f>
        <v>1.1725341096000002</v>
      </c>
      <c r="I12" s="49"/>
      <c r="J12" s="20">
        <f>((4870034*0.907185)*36.744)/1000000</f>
        <v>162.33579280939173</v>
      </c>
      <c r="K12" s="51"/>
      <c r="L12" s="12">
        <f>(3912144.9*36.744)/1000000</f>
        <v>143.7478522056</v>
      </c>
      <c r="M12" s="12"/>
      <c r="N12" s="20"/>
    </row>
    <row r="13" spans="1:23" ht="16.5" customHeight="1" x14ac:dyDescent="0.2">
      <c r="A13" s="30" t="s">
        <v>78</v>
      </c>
      <c r="B13" s="49"/>
      <c r="C13" s="49"/>
      <c r="D13" s="20"/>
      <c r="E13" s="52"/>
      <c r="F13" s="53"/>
      <c r="G13" s="12">
        <f>(53275.5*36.744)/1000000</f>
        <v>1.9575549720000001</v>
      </c>
      <c r="H13" s="20"/>
      <c r="I13" s="49"/>
      <c r="J13" s="20">
        <f>((5615616*0.907185)*36.744)/1000000</f>
        <v>187.18872916967425</v>
      </c>
      <c r="K13" s="51"/>
      <c r="L13" s="12">
        <f>(5894089.2*36.744)/1000000</f>
        <v>216.5724135648</v>
      </c>
      <c r="M13" s="12"/>
      <c r="N13" s="20"/>
    </row>
    <row r="14" spans="1:23" ht="16.5" customHeight="1" x14ac:dyDescent="0.2">
      <c r="A14" s="30" t="s">
        <v>80</v>
      </c>
      <c r="B14" s="49"/>
      <c r="C14" s="49"/>
      <c r="D14" s="20"/>
      <c r="E14" s="52"/>
      <c r="F14" s="53"/>
      <c r="G14" s="12">
        <f>(12452.6*36.744)/1000000</f>
        <v>0.45755833439999999</v>
      </c>
      <c r="H14" s="20"/>
      <c r="I14" s="49"/>
      <c r="J14" s="20">
        <f>((5239452*0.907185)*36.744)/1000000</f>
        <v>174.64982673770928</v>
      </c>
      <c r="K14" s="51"/>
      <c r="L14" s="12">
        <f>(6834264.3*36.744)/1000000</f>
        <v>251.11820743919998</v>
      </c>
      <c r="M14" s="12"/>
      <c r="N14" s="20"/>
    </row>
    <row r="15" spans="1:23" ht="16.5" customHeight="1" x14ac:dyDescent="0.2">
      <c r="A15" s="30" t="s">
        <v>175</v>
      </c>
      <c r="B15" s="49"/>
      <c r="C15" s="49"/>
      <c r="D15" s="49"/>
      <c r="E15" s="52">
        <v>909.05200000000002</v>
      </c>
      <c r="F15" s="53">
        <f>3551.908</f>
        <v>3551.9079999999999</v>
      </c>
      <c r="G15" s="12">
        <f>SUM(G12:G14)</f>
        <v>3.5876474160000003</v>
      </c>
      <c r="H15" s="20">
        <f>E15+F15+G15</f>
        <v>4464.5476474160005</v>
      </c>
      <c r="I15" s="49"/>
      <c r="J15" s="20">
        <f>SUM(J12:J14)</f>
        <v>524.17434871677528</v>
      </c>
      <c r="K15" s="51">
        <f>M15-L15-J15</f>
        <v>76.446825489625326</v>
      </c>
      <c r="L15" s="12">
        <f>SUM(L12:L14)</f>
        <v>611.43847320960003</v>
      </c>
      <c r="M15" s="12">
        <f>H15-N15</f>
        <v>1212.0596474160006</v>
      </c>
      <c r="N15" s="20">
        <v>3252.4879999999998</v>
      </c>
    </row>
    <row r="16" spans="1:23" ht="16.5" customHeight="1" x14ac:dyDescent="0.2">
      <c r="A16" s="26" t="s">
        <v>81</v>
      </c>
      <c r="B16" s="49"/>
      <c r="C16" s="49"/>
      <c r="D16" s="20"/>
      <c r="E16" s="52"/>
      <c r="F16" s="12"/>
      <c r="G16" s="12">
        <f>(37814.7*36.744)/1000000</f>
        <v>1.3894633368</v>
      </c>
      <c r="H16" s="20"/>
      <c r="I16" s="49"/>
      <c r="J16" s="20">
        <f>((5542274*0.907185)*36.744)/1000000</f>
        <v>184.74397586482533</v>
      </c>
      <c r="K16" s="51"/>
      <c r="L16" s="12">
        <f>(5669989.1*36.744)/1000000</f>
        <v>208.33807949039999</v>
      </c>
      <c r="M16" s="12"/>
      <c r="N16" s="20"/>
    </row>
    <row r="17" spans="1:14" ht="16.5" customHeight="1" x14ac:dyDescent="0.2">
      <c r="A17" s="26" t="s">
        <v>82</v>
      </c>
      <c r="B17" s="49"/>
      <c r="C17" s="49"/>
      <c r="D17" s="20"/>
      <c r="E17" s="52"/>
      <c r="F17" s="53"/>
      <c r="G17" s="12">
        <f>(31076.1*36.744)/1000000</f>
        <v>1.1418602184</v>
      </c>
      <c r="H17" s="20"/>
      <c r="I17" s="49"/>
      <c r="J17" s="20">
        <f>((5663403*0.907185)*36.744)/1000000</f>
        <v>188.78164218239291</v>
      </c>
      <c r="K17" s="51"/>
      <c r="L17" s="12">
        <f>(5182193.7*36.744)/1000000</f>
        <v>190.41452531280001</v>
      </c>
      <c r="M17" s="12"/>
      <c r="N17" s="20"/>
    </row>
    <row r="18" spans="1:14" ht="16.5" customHeight="1" x14ac:dyDescent="0.2">
      <c r="A18" s="26" t="s">
        <v>83</v>
      </c>
      <c r="B18" s="49"/>
      <c r="C18" s="49"/>
      <c r="D18" s="20"/>
      <c r="E18" s="52"/>
      <c r="F18" s="53"/>
      <c r="G18" s="12">
        <f>(41346.4*36.744)/1000000</f>
        <v>1.5192321216</v>
      </c>
      <c r="H18" s="20"/>
      <c r="I18" s="49"/>
      <c r="J18" s="20">
        <f>((5258777*0.907185)*36.744)/1000000</f>
        <v>175.29399866670227</v>
      </c>
      <c r="K18" s="51"/>
      <c r="L18" s="12">
        <f>(2930661.8*36.744)/1000000</f>
        <v>107.6842371792</v>
      </c>
      <c r="M18" s="49"/>
      <c r="N18" s="49"/>
    </row>
    <row r="19" spans="1:14" ht="16.5" customHeight="1" x14ac:dyDescent="0.2">
      <c r="A19" s="26" t="s">
        <v>176</v>
      </c>
      <c r="B19" s="49"/>
      <c r="C19" s="49"/>
      <c r="D19" s="49"/>
      <c r="E19" s="52">
        <f>N15</f>
        <v>3252.4879999999998</v>
      </c>
      <c r="F19" s="53"/>
      <c r="G19" s="12">
        <f>SUM(G16:G18)</f>
        <v>4.0505556768000002</v>
      </c>
      <c r="H19" s="20">
        <f>E19+F19+G19</f>
        <v>3256.5385556767997</v>
      </c>
      <c r="I19" s="49"/>
      <c r="J19" s="20">
        <f>SUM(J16:J18)</f>
        <v>548.81961671392048</v>
      </c>
      <c r="K19" s="51">
        <f>M19-L19-J19</f>
        <v>-53.599903019520923</v>
      </c>
      <c r="L19" s="12">
        <f>SUM(L16:L18)</f>
        <v>506.43684198240004</v>
      </c>
      <c r="M19" s="12">
        <f>H19-N19</f>
        <v>1001.6565556767996</v>
      </c>
      <c r="N19" s="20">
        <v>2254.8820000000001</v>
      </c>
    </row>
    <row r="20" spans="1:14" ht="16.5" customHeight="1" x14ac:dyDescent="0.2">
      <c r="A20" s="26" t="s">
        <v>84</v>
      </c>
      <c r="B20" s="49"/>
      <c r="C20" s="49"/>
      <c r="D20" s="20"/>
      <c r="E20" s="52"/>
      <c r="F20" s="53"/>
      <c r="G20" s="12">
        <f>(42451.2*36.744)/1000000</f>
        <v>1.5598268927999999</v>
      </c>
      <c r="H20" s="20"/>
      <c r="I20" s="49"/>
      <c r="J20" s="20">
        <f>((5764867*0.907185)*36.744)/1000000</f>
        <v>192.16380314504988</v>
      </c>
      <c r="K20" s="51"/>
      <c r="L20" s="12">
        <f>(2475267.9*36.744)/1000000</f>
        <v>90.951243717600008</v>
      </c>
      <c r="M20" s="12"/>
      <c r="N20" s="20"/>
    </row>
    <row r="21" spans="1:14" ht="16.5" customHeight="1" x14ac:dyDescent="0.2">
      <c r="A21" s="26" t="s">
        <v>85</v>
      </c>
      <c r="B21" s="49"/>
      <c r="C21" s="49"/>
      <c r="D21" s="20"/>
      <c r="E21" s="52"/>
      <c r="F21" s="53"/>
      <c r="G21" s="12">
        <f>(25462.9*36.744)/1000000</f>
        <v>0.93560879760000004</v>
      </c>
      <c r="H21" s="20"/>
      <c r="I21" s="49"/>
      <c r="J21" s="20">
        <f>((5501825*0.907185)*36.744)/1000000</f>
        <v>183.395664850293</v>
      </c>
      <c r="K21" s="51"/>
      <c r="L21" s="12">
        <f>(2222224.3*36.744)/1000000</f>
        <v>81.653409679199996</v>
      </c>
      <c r="M21" s="12"/>
      <c r="N21" s="20"/>
    </row>
    <row r="22" spans="1:14" ht="16.5" customHeight="1" x14ac:dyDescent="0.2">
      <c r="A22" s="26" t="s">
        <v>86</v>
      </c>
      <c r="B22" s="49"/>
      <c r="C22" s="49"/>
      <c r="D22" s="20"/>
      <c r="E22" s="52"/>
      <c r="F22" s="53"/>
      <c r="G22" s="12">
        <f>(30880.8*36.744)/1000000</f>
        <v>1.1346841151999998</v>
      </c>
      <c r="H22" s="20"/>
      <c r="I22" s="49"/>
      <c r="J22" s="20">
        <f>((5386534*0.907185)*36.744)/1000000</f>
        <v>179.55260012245176</v>
      </c>
      <c r="K22" s="51"/>
      <c r="L22" s="12">
        <f>(1919708.1*36.744)/1000000</f>
        <v>70.537754426399999</v>
      </c>
      <c r="M22" s="12"/>
      <c r="N22" s="20"/>
    </row>
    <row r="23" spans="1:14" ht="16.5" customHeight="1" x14ac:dyDescent="0.2">
      <c r="A23" s="26" t="s">
        <v>177</v>
      </c>
      <c r="B23" s="30"/>
      <c r="C23" s="30"/>
      <c r="D23" s="49"/>
      <c r="E23" s="52">
        <f>N19</f>
        <v>2254.8820000000001</v>
      </c>
      <c r="F23" s="54"/>
      <c r="G23" s="12">
        <f>SUM(G20:G22)</f>
        <v>3.6301198055999997</v>
      </c>
      <c r="H23" s="20">
        <f>E23+F23+G23</f>
        <v>2258.5121198055999</v>
      </c>
      <c r="I23" s="20"/>
      <c r="J23" s="20">
        <f>SUM(J20:J22)</f>
        <v>555.11206811779459</v>
      </c>
      <c r="K23" s="55">
        <f>M23-L23-J23</f>
        <v>78.863643864605251</v>
      </c>
      <c r="L23" s="12">
        <f>SUM(L20:L22)</f>
        <v>243.14240782320002</v>
      </c>
      <c r="M23" s="12">
        <f>H23-N23</f>
        <v>877.11811980559992</v>
      </c>
      <c r="N23" s="20">
        <v>1381.394</v>
      </c>
    </row>
    <row r="24" spans="1:14" ht="16.5" customHeight="1" x14ac:dyDescent="0.2">
      <c r="A24" s="26" t="s">
        <v>119</v>
      </c>
      <c r="B24" s="30"/>
      <c r="C24" s="30"/>
      <c r="D24" s="20"/>
      <c r="E24" s="52"/>
      <c r="F24" s="54"/>
      <c r="G24" s="12">
        <f>(44941.8*36.744)/1000000</f>
        <v>1.6513414992000002</v>
      </c>
      <c r="H24" s="20"/>
      <c r="I24" s="20"/>
      <c r="J24" s="20">
        <f>((5318419*0.907185)*36.744)/1000000</f>
        <v>177.28208157428318</v>
      </c>
      <c r="K24" s="55"/>
      <c r="L24" s="12">
        <f>(1779978.9*36.744)/1000000</f>
        <v>65.403544701599998</v>
      </c>
      <c r="M24" s="12"/>
      <c r="N24" s="20"/>
    </row>
    <row r="25" spans="1:14" ht="16.5" customHeight="1" x14ac:dyDescent="0.2">
      <c r="A25" s="26" t="s">
        <v>120</v>
      </c>
      <c r="B25" s="30"/>
      <c r="C25" s="30"/>
      <c r="D25" s="20"/>
      <c r="E25" s="52"/>
      <c r="F25" s="54"/>
      <c r="G25" s="12">
        <f>(47973.5*36.744)/1000000</f>
        <v>1.7627382839999999</v>
      </c>
      <c r="H25" s="20"/>
      <c r="I25" s="20"/>
      <c r="J25" s="20">
        <f>((5535196*0.907185)*36.744)/1000000</f>
        <v>184.50804060410545</v>
      </c>
      <c r="K25" s="55"/>
      <c r="L25" s="12">
        <f>(2245645.1*36.744)/1000000</f>
        <v>82.513983554399999</v>
      </c>
      <c r="M25" s="12"/>
      <c r="N25" s="20"/>
    </row>
    <row r="26" spans="1:14" ht="16.5" customHeight="1" x14ac:dyDescent="0.2">
      <c r="A26" s="26" t="s">
        <v>121</v>
      </c>
      <c r="B26" s="30"/>
      <c r="C26" s="30"/>
      <c r="D26" s="20"/>
      <c r="E26" s="52"/>
      <c r="F26" s="54"/>
      <c r="G26" s="12">
        <f>(19002.3*36.744)/1000000</f>
        <v>0.69822051119999995</v>
      </c>
      <c r="H26" s="20"/>
      <c r="I26" s="20"/>
      <c r="J26" s="20">
        <f>((5240230*0.907185)*36.744)/1000000</f>
        <v>174.67576028289722</v>
      </c>
      <c r="K26" s="55"/>
      <c r="L26" s="12">
        <f>(4635188.1*36.744)/1000000</f>
        <v>170.31535154639997</v>
      </c>
      <c r="M26" s="12"/>
      <c r="N26" s="20"/>
    </row>
    <row r="27" spans="1:14" ht="16.5" customHeight="1" x14ac:dyDescent="0.2">
      <c r="A27" s="26" t="s">
        <v>178</v>
      </c>
      <c r="B27" s="30"/>
      <c r="C27" s="30"/>
      <c r="D27" s="49"/>
      <c r="E27" s="52">
        <f>N23</f>
        <v>1381.394</v>
      </c>
      <c r="F27" s="54"/>
      <c r="G27" s="12">
        <f>SUM(G24:G26)</f>
        <v>4.1123002943999998</v>
      </c>
      <c r="H27" s="20">
        <f>E27+F27+G27</f>
        <v>1385.5063002944</v>
      </c>
      <c r="I27" s="20"/>
      <c r="J27" s="20">
        <f>SUM(J24:J26)</f>
        <v>536.4658824612859</v>
      </c>
      <c r="K27" s="55">
        <f>M27-L27-J27</f>
        <v>6.2665380307141731</v>
      </c>
      <c r="L27" s="12">
        <f>SUM(L24:L26)</f>
        <v>318.23287980239996</v>
      </c>
      <c r="M27" s="12">
        <f>H27-N27</f>
        <v>860.96530029439998</v>
      </c>
      <c r="N27" s="20">
        <v>524.54100000000005</v>
      </c>
    </row>
    <row r="28" spans="1:14" ht="16.5" customHeight="1" x14ac:dyDescent="0.2">
      <c r="A28" s="26" t="s">
        <v>3</v>
      </c>
      <c r="B28" s="49"/>
      <c r="C28" s="49"/>
      <c r="D28" s="49"/>
      <c r="E28" s="52"/>
      <c r="F28" s="53">
        <f>F15</f>
        <v>3551.9079999999999</v>
      </c>
      <c r="G28" s="12">
        <f>G15+G19+G23+G27</f>
        <v>15.380623192800002</v>
      </c>
      <c r="H28" s="20">
        <f>E15+F28+G28</f>
        <v>4476.3406231928002</v>
      </c>
      <c r="I28" s="49"/>
      <c r="J28" s="20">
        <f>J15+J19+J23+J27</f>
        <v>2164.571916009776</v>
      </c>
      <c r="K28" s="55">
        <f>K15+K19+K23+K27</f>
        <v>107.97710436542383</v>
      </c>
      <c r="L28" s="12">
        <f>L15+L19+L23+L27</f>
        <v>1679.2506028176001</v>
      </c>
      <c r="M28" s="12">
        <f>M15+M19+M23+M27</f>
        <v>3951.7996231928005</v>
      </c>
      <c r="N28" s="20"/>
    </row>
    <row r="29" spans="1:14" ht="16.5" customHeight="1" x14ac:dyDescent="0.2">
      <c r="A29" s="26"/>
      <c r="B29" s="49"/>
      <c r="C29" s="49"/>
      <c r="D29" s="49"/>
      <c r="E29" s="52"/>
      <c r="F29" s="53"/>
      <c r="G29" s="12"/>
      <c r="H29" s="20"/>
      <c r="I29" s="49"/>
      <c r="J29" s="20"/>
      <c r="K29" s="55"/>
      <c r="L29" s="12"/>
      <c r="M29" s="12"/>
      <c r="N29" s="20"/>
    </row>
    <row r="30" spans="1:14" ht="16.5" customHeight="1" x14ac:dyDescent="0.25">
      <c r="A30" s="48" t="s">
        <v>122</v>
      </c>
      <c r="B30" s="49"/>
      <c r="C30" s="49"/>
      <c r="D30" s="49"/>
      <c r="E30" s="52"/>
      <c r="F30" s="53"/>
      <c r="G30" s="12"/>
      <c r="H30" s="20"/>
      <c r="I30" s="49"/>
      <c r="J30" s="20"/>
      <c r="K30" s="55"/>
      <c r="L30" s="12"/>
      <c r="M30" s="12"/>
      <c r="N30" s="20"/>
    </row>
    <row r="31" spans="1:14" ht="16.5" customHeight="1" x14ac:dyDescent="0.2">
      <c r="A31" s="30" t="s">
        <v>58</v>
      </c>
      <c r="B31" s="49"/>
      <c r="C31" s="49"/>
      <c r="D31" s="49"/>
      <c r="E31" s="52"/>
      <c r="F31" s="53"/>
      <c r="G31" s="12">
        <f>(44527.6*36.744)/1000000</f>
        <v>1.6361221343999999</v>
      </c>
      <c r="I31" s="49"/>
      <c r="J31" s="20">
        <f>((5131665*0.907185)*36.744)/1000000</f>
        <v>171.05689738659061</v>
      </c>
      <c r="K31" s="51"/>
      <c r="L31" s="12">
        <f>(7191284.4*36.744)/1000000</f>
        <v>264.23655399360001</v>
      </c>
      <c r="M31" s="12"/>
      <c r="N31" s="20"/>
    </row>
    <row r="32" spans="1:14" ht="16.5" customHeight="1" x14ac:dyDescent="0.2">
      <c r="A32" s="30" t="s">
        <v>45</v>
      </c>
      <c r="B32" s="49"/>
      <c r="C32" s="49"/>
      <c r="D32" s="49"/>
      <c r="E32" s="56"/>
      <c r="F32" s="53"/>
      <c r="G32" s="12">
        <f>(24879.1*36.744)/1000000</f>
        <v>0.91415765039999997</v>
      </c>
      <c r="I32" s="49"/>
      <c r="J32" s="20">
        <f>((5897079*0.907185)*36.744)/1000000</f>
        <v>196.57090581392558</v>
      </c>
      <c r="K32" s="51"/>
      <c r="L32" s="12">
        <f>(11636404.4*36.744)/1000000</f>
        <v>427.56804327359998</v>
      </c>
      <c r="M32" s="12"/>
      <c r="N32" s="20"/>
    </row>
    <row r="33" spans="1:14" ht="16.5" customHeight="1" x14ac:dyDescent="0.2">
      <c r="A33" s="30" t="s">
        <v>46</v>
      </c>
      <c r="B33" s="49"/>
      <c r="C33" s="49"/>
      <c r="D33" s="49"/>
      <c r="E33" s="56"/>
      <c r="F33" s="53"/>
      <c r="G33" s="12">
        <f>(12431.7*36.744)/1000000</f>
        <v>0.4567903848</v>
      </c>
      <c r="I33" s="49"/>
      <c r="J33" s="20">
        <f>((5731207*0.907185)*36.744)/1000000</f>
        <v>191.04179397920748</v>
      </c>
      <c r="K33" s="51"/>
      <c r="L33" s="12">
        <f>(10867331.6*36.744)/1000000</f>
        <v>399.30923231040003</v>
      </c>
      <c r="M33" s="12"/>
      <c r="N33" s="20"/>
    </row>
    <row r="34" spans="1:14" ht="16.5" customHeight="1" x14ac:dyDescent="0.2">
      <c r="A34" s="30" t="s">
        <v>175</v>
      </c>
      <c r="B34" s="49"/>
      <c r="C34" s="49"/>
      <c r="D34" s="49"/>
      <c r="E34" s="52">
        <f>N27</f>
        <v>524.54100000000005</v>
      </c>
      <c r="F34" s="53">
        <v>4216.3019999999997</v>
      </c>
      <c r="G34" s="12">
        <f>G31+G32+G33</f>
        <v>3.0070701696</v>
      </c>
      <c r="H34" s="20">
        <f>E34+F34+G34</f>
        <v>4743.8500701696003</v>
      </c>
      <c r="I34" s="49"/>
      <c r="J34" s="20">
        <f>J31+J32+J33</f>
        <v>558.66959717972361</v>
      </c>
      <c r="K34" s="51">
        <f>M34-L34-J34</f>
        <v>147.32664341227689</v>
      </c>
      <c r="L34" s="12">
        <f>L31+L32+L33</f>
        <v>1091.1138295776</v>
      </c>
      <c r="M34" s="12">
        <f>H34-N34</f>
        <v>1797.1100701696005</v>
      </c>
      <c r="N34" s="20">
        <v>2946.74</v>
      </c>
    </row>
    <row r="35" spans="1:14" ht="16.899999999999999" customHeight="1" x14ac:dyDescent="0.2">
      <c r="A35" s="26" t="s">
        <v>47</v>
      </c>
      <c r="B35" s="49"/>
      <c r="C35" s="49"/>
      <c r="D35" s="49"/>
      <c r="E35" s="52"/>
      <c r="F35" s="12"/>
      <c r="G35" s="12">
        <f>(23426.8*36.744)/1000000</f>
        <v>0.86079433919999992</v>
      </c>
      <c r="H35" s="20"/>
      <c r="I35" s="49"/>
      <c r="J35" s="20">
        <f>((5794233*0.907185)*36.744)/1000000</f>
        <v>193.14267780827416</v>
      </c>
      <c r="K35" s="51"/>
      <c r="L35" s="12">
        <f>(10445198.5*36.744)/1000000</f>
        <v>383.79837368400001</v>
      </c>
      <c r="M35" s="12"/>
      <c r="N35" s="20"/>
    </row>
    <row r="36" spans="1:14" ht="16.899999999999999" customHeight="1" x14ac:dyDescent="0.2">
      <c r="A36" s="26" t="s">
        <v>48</v>
      </c>
      <c r="B36" s="49"/>
      <c r="C36" s="49"/>
      <c r="D36" s="49"/>
      <c r="E36" s="52"/>
      <c r="F36" s="12"/>
      <c r="G36" s="12">
        <f>(19638*36.744)/1000000</f>
        <v>0.72157867200000003</v>
      </c>
      <c r="H36" s="20"/>
      <c r="I36" s="49"/>
      <c r="J36" s="20">
        <f>((5895360*0.907185)*36.744)/1000000</f>
        <v>196.5136053458304</v>
      </c>
      <c r="K36" s="51"/>
      <c r="L36" s="12">
        <f>(8829299.6*36.744)/1000000</f>
        <v>324.4237845024</v>
      </c>
      <c r="M36" s="12"/>
      <c r="N36" s="20"/>
    </row>
    <row r="37" spans="1:14" ht="16.899999999999999" customHeight="1" x14ac:dyDescent="0.2">
      <c r="A37" s="26" t="s">
        <v>49</v>
      </c>
      <c r="B37" s="49"/>
      <c r="C37" s="49"/>
      <c r="D37" s="49"/>
      <c r="E37" s="52"/>
      <c r="F37" s="12"/>
      <c r="G37" s="12">
        <f>(22552.9*36.744)/1000000</f>
        <v>0.82868375760000001</v>
      </c>
      <c r="H37" s="20"/>
      <c r="I37" s="49"/>
      <c r="J37" s="20">
        <f>((4930499*0.907185)*36.744)/1000000</f>
        <v>164.35130927441435</v>
      </c>
      <c r="K37" s="51"/>
      <c r="L37" s="12">
        <f>(4558707.1*36.744)/1000000</f>
        <v>167.50513368239999</v>
      </c>
      <c r="M37" s="12"/>
      <c r="N37" s="20"/>
    </row>
    <row r="38" spans="1:14" ht="16.899999999999999" customHeight="1" x14ac:dyDescent="0.2">
      <c r="A38" s="26" t="s">
        <v>176</v>
      </c>
      <c r="B38" s="49"/>
      <c r="C38" s="49"/>
      <c r="D38" s="49"/>
      <c r="E38" s="52">
        <f>N34</f>
        <v>2946.74</v>
      </c>
      <c r="F38" s="12"/>
      <c r="G38" s="12">
        <f>SUM(G35:G37)</f>
        <v>2.4110567688</v>
      </c>
      <c r="H38" s="20">
        <f>E38+F38+G38</f>
        <v>2949.1510567687997</v>
      </c>
      <c r="I38" s="49"/>
      <c r="J38" s="20">
        <f>SUM(J35:J37)</f>
        <v>554.00759242851893</v>
      </c>
      <c r="K38" s="51">
        <f>M38-L38-J38</f>
        <v>-42.267827528519319</v>
      </c>
      <c r="L38" s="12">
        <f>SUM(L35:L37)</f>
        <v>875.72729186880008</v>
      </c>
      <c r="M38" s="12">
        <f>H38-N38</f>
        <v>1387.4670567687997</v>
      </c>
      <c r="N38" s="20">
        <v>1561.684</v>
      </c>
    </row>
    <row r="39" spans="1:14" ht="16.899999999999999" customHeight="1" x14ac:dyDescent="0.2">
      <c r="A39" s="26" t="s">
        <v>50</v>
      </c>
      <c r="B39" s="49"/>
      <c r="C39" s="49"/>
      <c r="D39" s="49"/>
      <c r="E39" s="52"/>
      <c r="F39" s="12"/>
      <c r="G39" s="12">
        <f>(26142.7*36.744)/1000000</f>
        <v>0.96058736880000006</v>
      </c>
      <c r="H39" s="20"/>
      <c r="I39" s="49"/>
      <c r="J39" s="20">
        <f>((5646728*0.907185)*36.744)/1000000</f>
        <v>188.22580430834591</v>
      </c>
      <c r="K39" s="51"/>
      <c r="L39" s="12">
        <f>(2295121.8*36.744)/1000000</f>
        <v>84.331955419199986</v>
      </c>
      <c r="M39" s="12"/>
      <c r="N39" s="57"/>
    </row>
    <row r="40" spans="1:14" ht="16.899999999999999" customHeight="1" x14ac:dyDescent="0.2">
      <c r="A40" s="26" t="s">
        <v>51</v>
      </c>
      <c r="B40" s="49"/>
      <c r="C40" s="49"/>
      <c r="D40" s="49"/>
      <c r="E40" s="52"/>
      <c r="F40" s="12"/>
      <c r="G40" s="12">
        <f>(34734.1*36.744)/1000000</f>
        <v>1.2762697704000001</v>
      </c>
      <c r="H40" s="20"/>
      <c r="I40" s="49"/>
      <c r="J40" s="20">
        <f>((5095631*0.907185)*36.744)/1000000</f>
        <v>169.85575424095885</v>
      </c>
      <c r="K40" s="51"/>
      <c r="L40" s="12">
        <f>(1384924.4*36.744)/1000000</f>
        <v>50.887662153599997</v>
      </c>
      <c r="M40" s="12"/>
      <c r="N40" s="57"/>
    </row>
    <row r="41" spans="1:14" ht="16.899999999999999" customHeight="1" x14ac:dyDescent="0.2">
      <c r="A41" s="26" t="s">
        <v>52</v>
      </c>
      <c r="B41" s="49"/>
      <c r="C41" s="49"/>
      <c r="D41" s="49"/>
      <c r="E41" s="52"/>
      <c r="F41" s="12"/>
      <c r="G41" s="12">
        <f>(51046.1*36.744)/1000000</f>
        <v>1.8756378983999997</v>
      </c>
      <c r="H41" s="20"/>
      <c r="I41" s="49"/>
      <c r="J41" s="20">
        <f>((5205032*0.907185)*36.744)/1000000</f>
        <v>173.50248403158051</v>
      </c>
      <c r="K41" s="51"/>
      <c r="L41" s="12">
        <f>(1266685.1*36.744)/1000000</f>
        <v>46.543077314400001</v>
      </c>
      <c r="M41" s="12"/>
      <c r="N41" s="57"/>
    </row>
    <row r="42" spans="1:14" ht="16.899999999999999" customHeight="1" x14ac:dyDescent="0.2">
      <c r="A42" s="26" t="s">
        <v>177</v>
      </c>
      <c r="B42" s="49"/>
      <c r="C42" s="49"/>
      <c r="D42" s="49"/>
      <c r="E42" s="52">
        <f>N38</f>
        <v>1561.684</v>
      </c>
      <c r="F42" s="12"/>
      <c r="G42" s="12">
        <f>SUM(G39:G41)</f>
        <v>4.1124950375999996</v>
      </c>
      <c r="H42" s="20">
        <f>E42+F42+G42</f>
        <v>1565.7964950375999</v>
      </c>
      <c r="I42" s="49"/>
      <c r="J42" s="21">
        <f>SUM(J39:J41)</f>
        <v>531.58404258088524</v>
      </c>
      <c r="K42" s="51">
        <f>M42-L42-J42</f>
        <v>83.137757569514747</v>
      </c>
      <c r="L42" s="12">
        <f>SUM(L39:L41)</f>
        <v>181.76269488719998</v>
      </c>
      <c r="M42" s="12">
        <f>H42-N42</f>
        <v>796.48449503759991</v>
      </c>
      <c r="N42" s="20">
        <v>769.31200000000001</v>
      </c>
    </row>
    <row r="43" spans="1:14" ht="16.899999999999999" customHeight="1" x14ac:dyDescent="0.2">
      <c r="A43" s="26" t="s">
        <v>53</v>
      </c>
      <c r="B43" s="49"/>
      <c r="C43" s="49"/>
      <c r="D43" s="49"/>
      <c r="E43" s="52"/>
      <c r="F43" s="12"/>
      <c r="G43" s="12">
        <f>(205436.7*36.744)/1000000</f>
        <v>7.5485661048000008</v>
      </c>
      <c r="H43" s="20"/>
      <c r="I43" s="49"/>
      <c r="J43" s="21">
        <f>((4852334*0.907185)*36.744)/1000000</f>
        <v>161.74578798956375</v>
      </c>
      <c r="K43" s="51"/>
      <c r="L43" s="12">
        <f>(925497.6*36.744)/1000000</f>
        <v>34.006483814399999</v>
      </c>
      <c r="M43" s="12"/>
      <c r="N43" s="20"/>
    </row>
    <row r="44" spans="1:14" ht="16.899999999999999" customHeight="1" x14ac:dyDescent="0.2">
      <c r="A44" s="26" t="s">
        <v>55</v>
      </c>
      <c r="B44" s="49"/>
      <c r="C44" s="49"/>
      <c r="D44" s="49"/>
      <c r="E44" s="52"/>
      <c r="F44" s="12"/>
      <c r="G44" s="12">
        <f>(59776.6*36.744)/1000000</f>
        <v>2.1964313903999999</v>
      </c>
      <c r="H44" s="20"/>
      <c r="I44" s="49"/>
      <c r="J44" s="21">
        <f>((4989996*0.907185)*36.744)/1000000</f>
        <v>166.33455880917742</v>
      </c>
      <c r="K44" s="51"/>
      <c r="L44" s="12">
        <f>(945804.5*36.744)/1000000</f>
        <v>34.752640548000002</v>
      </c>
      <c r="M44" s="12"/>
      <c r="N44" s="20"/>
    </row>
    <row r="45" spans="1:14" ht="16.899999999999999" customHeight="1" x14ac:dyDescent="0.2">
      <c r="A45" s="26" t="s">
        <v>56</v>
      </c>
      <c r="B45" s="49"/>
      <c r="C45" s="49"/>
      <c r="D45" s="49"/>
      <c r="E45" s="52"/>
      <c r="F45" s="12"/>
      <c r="G45" s="12">
        <f>(15317.3*36.744)/1000000</f>
        <v>0.56281887119999996</v>
      </c>
      <c r="H45" s="20"/>
      <c r="I45" s="49"/>
      <c r="J45" s="21">
        <f>((5047776*0.907185)*36.744)/1000000</f>
        <v>168.26057454305666</v>
      </c>
      <c r="K45" s="51"/>
      <c r="L45" s="12">
        <f>(1308682.8*36.744)/1000000</f>
        <v>48.086240803199999</v>
      </c>
      <c r="M45" s="12"/>
      <c r="N45" s="20"/>
    </row>
    <row r="46" spans="1:14" ht="16.899999999999999" customHeight="1" x14ac:dyDescent="0.2">
      <c r="A46" s="26" t="s">
        <v>179</v>
      </c>
      <c r="B46" s="49"/>
      <c r="C46" s="49"/>
      <c r="D46" s="49"/>
      <c r="E46" s="52">
        <f>N42</f>
        <v>769.31200000000001</v>
      </c>
      <c r="F46" s="12"/>
      <c r="G46" s="12">
        <f>SUM(G43:G45)</f>
        <v>10.307816366399999</v>
      </c>
      <c r="H46" s="20">
        <f>E46+F46+G46</f>
        <v>779.61981636639996</v>
      </c>
      <c r="I46" s="49"/>
      <c r="J46" s="21">
        <f>SUM(J43:J45)</f>
        <v>496.34092134179787</v>
      </c>
      <c r="K46" s="55">
        <f>M46-L46-J46</f>
        <v>-89.745470140997895</v>
      </c>
      <c r="L46" s="12">
        <f>SUM(L43:L45)</f>
        <v>116.8453651656</v>
      </c>
      <c r="M46" s="12">
        <f>H46-N46</f>
        <v>523.44081636639999</v>
      </c>
      <c r="N46" s="20">
        <v>256.17899999999997</v>
      </c>
    </row>
    <row r="47" spans="1:14" ht="16.5" customHeight="1" x14ac:dyDescent="0.2">
      <c r="A47" s="24" t="s">
        <v>123</v>
      </c>
      <c r="B47" s="58"/>
      <c r="C47" s="58"/>
      <c r="D47" s="58"/>
      <c r="E47" s="59"/>
      <c r="F47" s="60">
        <f>F34</f>
        <v>4216.3019999999997</v>
      </c>
      <c r="G47" s="61">
        <f>G34+G38+G42+G46</f>
        <v>19.838438342399996</v>
      </c>
      <c r="H47" s="8">
        <f>E34+F47+G47</f>
        <v>4760.6814383423998</v>
      </c>
      <c r="I47" s="58"/>
      <c r="J47" s="8">
        <f>J34+J38+J42+J46</f>
        <v>2140.6021535309255</v>
      </c>
      <c r="K47" s="62">
        <f>SUM(K34,K38,K42,K46)</f>
        <v>98.451103312274427</v>
      </c>
      <c r="L47" s="61">
        <f>L34+L38+L42+L46</f>
        <v>2265.4491814991998</v>
      </c>
      <c r="M47" s="61">
        <f>M34+M38+M42+M46</f>
        <v>4504.5024383424006</v>
      </c>
      <c r="N47" s="8"/>
    </row>
    <row r="48" spans="1:14" ht="16.5" customHeight="1" x14ac:dyDescent="0.2">
      <c r="A48" s="63" t="s">
        <v>115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4"/>
      <c r="M48" s="30"/>
      <c r="N48" s="30"/>
    </row>
    <row r="49" spans="1:73" ht="16.5" customHeight="1" x14ac:dyDescent="0.2">
      <c r="A49" s="26" t="s">
        <v>142</v>
      </c>
      <c r="B49" s="26"/>
      <c r="C49" s="26"/>
      <c r="D49" s="26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73" ht="16.5" customHeight="1" x14ac:dyDescent="0.2">
      <c r="A50" s="32" t="s">
        <v>18</v>
      </c>
      <c r="B50" s="66">
        <f ca="1">NOW()</f>
        <v>44482.587913078707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67"/>
      <c r="P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x14ac:dyDescent="0.2">
      <c r="O51" s="67"/>
      <c r="P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x14ac:dyDescent="0.2">
      <c r="O52" s="67"/>
      <c r="P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x14ac:dyDescent="0.2">
      <c r="O53" s="67"/>
      <c r="P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x14ac:dyDescent="0.2">
      <c r="F54" s="68"/>
      <c r="O54" s="67"/>
      <c r="P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x14ac:dyDescent="0.2">
      <c r="O55" s="67"/>
      <c r="P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x14ac:dyDescent="0.2">
      <c r="O56" s="67"/>
      <c r="P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x14ac:dyDescent="0.2">
      <c r="O57" s="67"/>
      <c r="P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x14ac:dyDescent="0.2">
      <c r="O58" s="67"/>
      <c r="P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x14ac:dyDescent="0.2">
      <c r="O59" s="67"/>
      <c r="P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</row>
    <row r="60" spans="1:73" x14ac:dyDescent="0.2">
      <c r="O60" s="67"/>
      <c r="P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</row>
    <row r="61" spans="1:73" x14ac:dyDescent="0.2">
      <c r="O61" s="67"/>
      <c r="P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</row>
    <row r="62" spans="1:73" x14ac:dyDescent="0.2">
      <c r="O62" s="67"/>
      <c r="P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</row>
    <row r="63" spans="1:73" x14ac:dyDescent="0.2">
      <c r="O63" s="67"/>
      <c r="P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</row>
    <row r="64" spans="1:73" x14ac:dyDescent="0.2">
      <c r="O64" s="67"/>
      <c r="P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</row>
    <row r="65" spans="15:73" x14ac:dyDescent="0.2">
      <c r="O65" s="67"/>
      <c r="P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</row>
    <row r="66" spans="15:73" x14ac:dyDescent="0.2">
      <c r="O66" s="67"/>
      <c r="P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</row>
    <row r="67" spans="15:73" x14ac:dyDescent="0.2">
      <c r="O67" s="67"/>
      <c r="P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</row>
    <row r="68" spans="15:73" x14ac:dyDescent="0.2">
      <c r="O68" s="67"/>
      <c r="P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</row>
    <row r="69" spans="15:73" x14ac:dyDescent="0.2">
      <c r="O69" s="67"/>
      <c r="P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</row>
    <row r="70" spans="15:73" x14ac:dyDescent="0.2">
      <c r="O70" s="67"/>
      <c r="P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</row>
    <row r="71" spans="15:73" x14ac:dyDescent="0.2">
      <c r="O71" s="67"/>
      <c r="P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</row>
    <row r="72" spans="15:73" x14ac:dyDescent="0.2">
      <c r="O72" s="67"/>
      <c r="P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</row>
    <row r="73" spans="15:73" x14ac:dyDescent="0.2">
      <c r="O73" s="67"/>
      <c r="P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</row>
    <row r="74" spans="15:73" x14ac:dyDescent="0.2">
      <c r="O74" s="67"/>
      <c r="P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</row>
    <row r="75" spans="15:73" x14ac:dyDescent="0.2">
      <c r="O75" s="67"/>
      <c r="P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</row>
    <row r="76" spans="15:73" x14ac:dyDescent="0.2">
      <c r="O76" s="67"/>
      <c r="P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</row>
    <row r="77" spans="15:73" x14ac:dyDescent="0.2">
      <c r="O77" s="67"/>
      <c r="P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</row>
    <row r="78" spans="15:73" x14ac:dyDescent="0.2"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</row>
    <row r="79" spans="15:73" x14ac:dyDescent="0.2"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</row>
    <row r="80" spans="15:73" x14ac:dyDescent="0.2"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</row>
    <row r="81" spans="15:73" x14ac:dyDescent="0.2"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</row>
    <row r="82" spans="15:73" x14ac:dyDescent="0.2"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</row>
    <row r="83" spans="15:73" x14ac:dyDescent="0.2"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</row>
    <row r="84" spans="15:73" x14ac:dyDescent="0.2"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</row>
    <row r="85" spans="15:73" x14ac:dyDescent="0.2"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</row>
    <row r="86" spans="15:73" x14ac:dyDescent="0.2"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</row>
    <row r="87" spans="15:73" x14ac:dyDescent="0.2"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</row>
    <row r="88" spans="15:73" x14ac:dyDescent="0.2"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</row>
    <row r="89" spans="15:73" x14ac:dyDescent="0.2"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</row>
    <row r="90" spans="15:73" x14ac:dyDescent="0.2"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</row>
    <row r="91" spans="15:73" x14ac:dyDescent="0.2"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</row>
    <row r="92" spans="15:73" x14ac:dyDescent="0.2"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</row>
    <row r="93" spans="15:73" x14ac:dyDescent="0.2"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</row>
    <row r="94" spans="15:73" x14ac:dyDescent="0.2"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</row>
    <row r="95" spans="15:73" x14ac:dyDescent="0.2"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</row>
    <row r="96" spans="15:73" x14ac:dyDescent="0.2"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</row>
    <row r="97" spans="15:73" x14ac:dyDescent="0.2"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</row>
    <row r="98" spans="15:73" x14ac:dyDescent="0.2"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</row>
    <row r="99" spans="15:73" x14ac:dyDescent="0.2"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</row>
    <row r="100" spans="15:73" x14ac:dyDescent="0.2"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</row>
    <row r="101" spans="15:73" x14ac:dyDescent="0.2"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</row>
    <row r="102" spans="15:73" x14ac:dyDescent="0.2"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</row>
    <row r="103" spans="15:73" x14ac:dyDescent="0.2"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</row>
    <row r="104" spans="15:73" x14ac:dyDescent="0.2"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</row>
    <row r="105" spans="15:73" x14ac:dyDescent="0.2"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</row>
    <row r="106" spans="15:73" x14ac:dyDescent="0.2"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</row>
    <row r="107" spans="15:73" x14ac:dyDescent="0.2"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</row>
    <row r="108" spans="15:73" x14ac:dyDescent="0.2"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</row>
    <row r="109" spans="15:73" x14ac:dyDescent="0.2"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</row>
    <row r="110" spans="15:73" x14ac:dyDescent="0.2"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</row>
    <row r="111" spans="15:73" x14ac:dyDescent="0.2"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</row>
    <row r="112" spans="15:73" x14ac:dyDescent="0.2"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</row>
    <row r="113" spans="15:73" x14ac:dyDescent="0.2"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</row>
    <row r="114" spans="15:73" x14ac:dyDescent="0.2"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</row>
    <row r="115" spans="15:73" x14ac:dyDescent="0.2"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</row>
    <row r="116" spans="15:73" x14ac:dyDescent="0.2"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</row>
    <row r="117" spans="15:73" x14ac:dyDescent="0.2"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</row>
    <row r="118" spans="15:73" x14ac:dyDescent="0.2"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</row>
    <row r="119" spans="15:73" x14ac:dyDescent="0.2"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</row>
    <row r="120" spans="15:73" x14ac:dyDescent="0.2"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</row>
    <row r="121" spans="15:73" x14ac:dyDescent="0.2"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</row>
    <row r="122" spans="15:73" x14ac:dyDescent="0.2"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</row>
    <row r="123" spans="15:73" x14ac:dyDescent="0.2"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</row>
    <row r="124" spans="15:73" x14ac:dyDescent="0.2"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</row>
    <row r="125" spans="15:73" x14ac:dyDescent="0.2"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</row>
    <row r="126" spans="15:73" x14ac:dyDescent="0.2"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</row>
    <row r="127" spans="15:73" x14ac:dyDescent="0.2"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</row>
    <row r="128" spans="15:73" x14ac:dyDescent="0.2"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</row>
    <row r="129" spans="15:73" x14ac:dyDescent="0.2"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</row>
    <row r="130" spans="15:73" x14ac:dyDescent="0.2"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</row>
    <row r="131" spans="15:73" x14ac:dyDescent="0.2"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</row>
    <row r="132" spans="15:73" x14ac:dyDescent="0.2"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</row>
    <row r="133" spans="15:73" x14ac:dyDescent="0.2"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</row>
    <row r="134" spans="15:73" x14ac:dyDescent="0.2"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</row>
    <row r="135" spans="15:73" x14ac:dyDescent="0.2"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</row>
    <row r="136" spans="15:73" x14ac:dyDescent="0.2"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</row>
    <row r="137" spans="15:73" x14ac:dyDescent="0.2"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</row>
    <row r="138" spans="15:73" x14ac:dyDescent="0.2"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</row>
    <row r="139" spans="15:73" x14ac:dyDescent="0.2"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</row>
    <row r="140" spans="15:73" x14ac:dyDescent="0.2"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</row>
    <row r="141" spans="15:73" x14ac:dyDescent="0.2"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</row>
    <row r="142" spans="15:73" x14ac:dyDescent="0.2"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</row>
    <row r="143" spans="15:73" x14ac:dyDescent="0.2"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</row>
    <row r="144" spans="15:73" x14ac:dyDescent="0.2"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</row>
    <row r="145" spans="15:73" x14ac:dyDescent="0.2"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</row>
    <row r="146" spans="15:73" x14ac:dyDescent="0.2"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</row>
    <row r="147" spans="15:73" x14ac:dyDescent="0.2"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</row>
    <row r="148" spans="15:73" x14ac:dyDescent="0.2"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</row>
    <row r="149" spans="15:73" x14ac:dyDescent="0.2"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</row>
    <row r="150" spans="15:73" x14ac:dyDescent="0.2"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</row>
    <row r="151" spans="15:73" x14ac:dyDescent="0.2"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</row>
    <row r="152" spans="15:73" x14ac:dyDescent="0.2"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</row>
    <row r="153" spans="15:73" x14ac:dyDescent="0.2"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</row>
    <row r="154" spans="15:73" x14ac:dyDescent="0.2"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</row>
    <row r="155" spans="15:73" x14ac:dyDescent="0.2"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</row>
    <row r="156" spans="15:73" x14ac:dyDescent="0.2"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</row>
    <row r="157" spans="15:73" x14ac:dyDescent="0.2"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</row>
    <row r="158" spans="15:73" x14ac:dyDescent="0.2"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</row>
    <row r="159" spans="15:73" x14ac:dyDescent="0.2"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</row>
    <row r="160" spans="15:73" x14ac:dyDescent="0.2"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</row>
    <row r="161" spans="15:73" x14ac:dyDescent="0.2"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</row>
    <row r="162" spans="15:73" x14ac:dyDescent="0.2"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</row>
    <row r="163" spans="15:73" x14ac:dyDescent="0.2"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</row>
    <row r="164" spans="15:73" x14ac:dyDescent="0.2"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</row>
    <row r="165" spans="15:73" x14ac:dyDescent="0.2"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</row>
    <row r="166" spans="15:73" x14ac:dyDescent="0.2"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</row>
    <row r="167" spans="15:73" x14ac:dyDescent="0.2"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</row>
    <row r="168" spans="15:73" x14ac:dyDescent="0.2"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</row>
    <row r="169" spans="15:73" x14ac:dyDescent="0.2"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</row>
    <row r="170" spans="15:73" x14ac:dyDescent="0.2"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</row>
    <row r="171" spans="15:73" x14ac:dyDescent="0.2"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</row>
    <row r="172" spans="15:73" x14ac:dyDescent="0.2"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</row>
    <row r="173" spans="15:73" x14ac:dyDescent="0.2"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</row>
    <row r="174" spans="15:73" x14ac:dyDescent="0.2"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</row>
    <row r="175" spans="15:73" x14ac:dyDescent="0.2"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</row>
    <row r="176" spans="15:73" x14ac:dyDescent="0.2"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</row>
    <row r="177" spans="15:73" x14ac:dyDescent="0.2"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</row>
    <row r="178" spans="15:73" x14ac:dyDescent="0.2"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</row>
    <row r="179" spans="15:73" x14ac:dyDescent="0.2"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</row>
    <row r="180" spans="15:73" x14ac:dyDescent="0.2"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</row>
    <row r="181" spans="15:73" x14ac:dyDescent="0.2"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</row>
    <row r="182" spans="15:73" x14ac:dyDescent="0.2"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</row>
    <row r="183" spans="15:73" x14ac:dyDescent="0.2"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</row>
    <row r="184" spans="15:73" x14ac:dyDescent="0.2"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</row>
    <row r="185" spans="15:73" x14ac:dyDescent="0.2"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</row>
    <row r="186" spans="15:73" x14ac:dyDescent="0.2"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</row>
    <row r="187" spans="15:73" x14ac:dyDescent="0.2"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</row>
    <row r="188" spans="15:73" x14ac:dyDescent="0.2"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</row>
    <row r="189" spans="15:73" x14ac:dyDescent="0.2"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</row>
    <row r="190" spans="15:73" x14ac:dyDescent="0.2"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</row>
    <row r="191" spans="15:73" x14ac:dyDescent="0.2"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</row>
    <row r="192" spans="15:73" x14ac:dyDescent="0.2"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</row>
    <row r="193" spans="15:73" x14ac:dyDescent="0.2"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</row>
    <row r="194" spans="15:73" x14ac:dyDescent="0.2"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</row>
    <row r="195" spans="15:73" x14ac:dyDescent="0.2"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</row>
    <row r="196" spans="15:73" x14ac:dyDescent="0.2"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</row>
    <row r="197" spans="15:73" x14ac:dyDescent="0.2"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</row>
    <row r="198" spans="15:73" x14ac:dyDescent="0.2"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</row>
    <row r="199" spans="15:73" x14ac:dyDescent="0.2"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</row>
    <row r="200" spans="15:73" x14ac:dyDescent="0.2"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</row>
    <row r="201" spans="15:73" x14ac:dyDescent="0.2"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</row>
    <row r="202" spans="15:73" x14ac:dyDescent="0.2"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</row>
    <row r="203" spans="15:73" x14ac:dyDescent="0.2"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</row>
    <row r="204" spans="15:73" x14ac:dyDescent="0.2"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</row>
    <row r="205" spans="15:73" x14ac:dyDescent="0.2"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</row>
    <row r="206" spans="15:73" x14ac:dyDescent="0.2"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</row>
    <row r="207" spans="15:73" x14ac:dyDescent="0.2"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</row>
    <row r="208" spans="15:73" x14ac:dyDescent="0.2"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</row>
    <row r="209" spans="15:73" x14ac:dyDescent="0.2"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</row>
    <row r="210" spans="15:73" x14ac:dyDescent="0.2"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</row>
    <row r="211" spans="15:73" x14ac:dyDescent="0.2"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</row>
    <row r="212" spans="15:73" x14ac:dyDescent="0.2"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</row>
    <row r="213" spans="15:73" x14ac:dyDescent="0.2"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</row>
    <row r="214" spans="15:73" x14ac:dyDescent="0.2"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</row>
    <row r="215" spans="15:73" x14ac:dyDescent="0.2"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</row>
    <row r="216" spans="15:73" x14ac:dyDescent="0.2"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</row>
    <row r="217" spans="15:73" x14ac:dyDescent="0.2"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</row>
    <row r="218" spans="15:73" x14ac:dyDescent="0.2"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</row>
    <row r="219" spans="15:73" x14ac:dyDescent="0.2"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</row>
    <row r="220" spans="15:73" x14ac:dyDescent="0.2"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</row>
    <row r="221" spans="15:73" x14ac:dyDescent="0.2"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</row>
    <row r="222" spans="15:73" x14ac:dyDescent="0.2"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</row>
    <row r="223" spans="15:73" x14ac:dyDescent="0.2"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</row>
    <row r="224" spans="15:73" x14ac:dyDescent="0.2"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</row>
    <row r="225" spans="15:73" x14ac:dyDescent="0.2"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</row>
    <row r="226" spans="15:73" x14ac:dyDescent="0.2"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</row>
    <row r="227" spans="15:73" x14ac:dyDescent="0.2"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</row>
    <row r="228" spans="15:73" x14ac:dyDescent="0.2"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</row>
    <row r="229" spans="15:73" x14ac:dyDescent="0.2"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</row>
    <row r="230" spans="15:73" x14ac:dyDescent="0.2"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</row>
    <row r="231" spans="15:73" x14ac:dyDescent="0.2"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</row>
    <row r="232" spans="15:73" x14ac:dyDescent="0.2"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</row>
    <row r="233" spans="15:73" x14ac:dyDescent="0.2"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</row>
    <row r="234" spans="15:73" x14ac:dyDescent="0.2"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</row>
    <row r="235" spans="15:73" x14ac:dyDescent="0.2"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</row>
    <row r="236" spans="15:73" x14ac:dyDescent="0.2"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</row>
    <row r="237" spans="15:73" x14ac:dyDescent="0.2"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</row>
    <row r="238" spans="15:73" x14ac:dyDescent="0.2"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  <c r="BO238" s="67"/>
      <c r="BP238" s="67"/>
      <c r="BQ238" s="67"/>
      <c r="BR238" s="67"/>
      <c r="BS238" s="67"/>
      <c r="BT238" s="67"/>
      <c r="BU238" s="67"/>
    </row>
    <row r="239" spans="15:73" x14ac:dyDescent="0.2"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</row>
    <row r="240" spans="15:73" x14ac:dyDescent="0.2"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</row>
    <row r="241" spans="15:73" x14ac:dyDescent="0.2"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</row>
    <row r="242" spans="15:73" x14ac:dyDescent="0.2"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</row>
    <row r="243" spans="15:73" x14ac:dyDescent="0.2"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</row>
    <row r="244" spans="15:73" x14ac:dyDescent="0.2"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</row>
    <row r="245" spans="15:73" x14ac:dyDescent="0.2"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</row>
    <row r="246" spans="15:73" x14ac:dyDescent="0.2"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</row>
    <row r="247" spans="15:73" x14ac:dyDescent="0.2"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</row>
    <row r="248" spans="15:73" x14ac:dyDescent="0.2"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</row>
    <row r="249" spans="15:73" x14ac:dyDescent="0.2"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</row>
    <row r="250" spans="15:73" x14ac:dyDescent="0.2"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</row>
    <row r="251" spans="15:73" x14ac:dyDescent="0.2"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</row>
    <row r="252" spans="15:73" x14ac:dyDescent="0.2"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</row>
    <row r="253" spans="15:73" x14ac:dyDescent="0.2"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</row>
    <row r="254" spans="15:73" x14ac:dyDescent="0.2"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</row>
    <row r="255" spans="15:73" x14ac:dyDescent="0.2"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</row>
    <row r="256" spans="15:73" x14ac:dyDescent="0.2"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</row>
    <row r="257" spans="15:73" x14ac:dyDescent="0.2"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</row>
    <row r="258" spans="15:73" x14ac:dyDescent="0.2"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</row>
    <row r="259" spans="15:73" x14ac:dyDescent="0.2"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</row>
    <row r="260" spans="15:73" x14ac:dyDescent="0.2"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</row>
    <row r="261" spans="15:73" x14ac:dyDescent="0.2"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</row>
    <row r="262" spans="15:73" x14ac:dyDescent="0.2"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</row>
    <row r="263" spans="15:73" x14ac:dyDescent="0.2"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</row>
    <row r="264" spans="15:73" x14ac:dyDescent="0.2"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</row>
    <row r="265" spans="15:73" x14ac:dyDescent="0.2"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</row>
    <row r="266" spans="15:73" x14ac:dyDescent="0.2"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</row>
    <row r="267" spans="15:73" x14ac:dyDescent="0.2"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</row>
    <row r="268" spans="15:73" x14ac:dyDescent="0.2"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</row>
    <row r="269" spans="15:73" x14ac:dyDescent="0.2"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</row>
    <row r="270" spans="15:73" x14ac:dyDescent="0.2"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</row>
    <row r="271" spans="15:73" x14ac:dyDescent="0.2"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</row>
    <row r="272" spans="15:73" x14ac:dyDescent="0.2"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</row>
    <row r="273" spans="15:73" x14ac:dyDescent="0.2"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</row>
    <row r="274" spans="15:73" x14ac:dyDescent="0.2"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</row>
    <row r="275" spans="15:73" x14ac:dyDescent="0.2"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</row>
    <row r="276" spans="15:73" x14ac:dyDescent="0.2"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</row>
    <row r="277" spans="15:73" x14ac:dyDescent="0.2"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</row>
    <row r="278" spans="15:73" x14ac:dyDescent="0.2"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</row>
    <row r="279" spans="15:73" x14ac:dyDescent="0.2"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</row>
    <row r="280" spans="15:73" x14ac:dyDescent="0.2"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</row>
    <row r="281" spans="15:73" x14ac:dyDescent="0.2"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</row>
    <row r="282" spans="15:73" x14ac:dyDescent="0.2"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</row>
    <row r="283" spans="15:73" x14ac:dyDescent="0.2"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</row>
    <row r="284" spans="15:73" x14ac:dyDescent="0.2"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</row>
    <row r="285" spans="15:73" x14ac:dyDescent="0.2"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</row>
    <row r="286" spans="15:73" x14ac:dyDescent="0.2"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</row>
    <row r="287" spans="15:73" x14ac:dyDescent="0.2"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</row>
    <row r="288" spans="15:73" x14ac:dyDescent="0.2"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</row>
    <row r="289" spans="15:73" x14ac:dyDescent="0.2"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</row>
    <row r="290" spans="15:73" x14ac:dyDescent="0.2"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</row>
    <row r="291" spans="15:73" x14ac:dyDescent="0.2"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</row>
    <row r="292" spans="15:73" x14ac:dyDescent="0.2"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</row>
    <row r="293" spans="15:73" x14ac:dyDescent="0.2"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</row>
    <row r="294" spans="15:73" x14ac:dyDescent="0.2"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</row>
    <row r="295" spans="15:73" x14ac:dyDescent="0.2"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</row>
    <row r="296" spans="15:73" x14ac:dyDescent="0.2"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</row>
    <row r="297" spans="15:73" x14ac:dyDescent="0.2"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</row>
    <row r="298" spans="15:73" x14ac:dyDescent="0.2"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</row>
    <row r="299" spans="15:73" x14ac:dyDescent="0.2"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</row>
    <row r="300" spans="15:73" x14ac:dyDescent="0.2"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</row>
    <row r="301" spans="15:73" x14ac:dyDescent="0.2"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</row>
    <row r="302" spans="15:73" x14ac:dyDescent="0.2"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</row>
    <row r="303" spans="15:73" x14ac:dyDescent="0.2"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</row>
    <row r="304" spans="15:73" x14ac:dyDescent="0.2"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</row>
    <row r="305" spans="15:73" x14ac:dyDescent="0.2"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</row>
    <row r="306" spans="15:73" x14ac:dyDescent="0.2"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</row>
    <row r="307" spans="15:73" x14ac:dyDescent="0.2"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</row>
    <row r="308" spans="15:73" x14ac:dyDescent="0.2"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</row>
    <row r="309" spans="15:73" x14ac:dyDescent="0.2"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</row>
    <row r="310" spans="15:73" x14ac:dyDescent="0.2"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</row>
    <row r="311" spans="15:73" x14ac:dyDescent="0.2"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</row>
    <row r="312" spans="15:73" x14ac:dyDescent="0.2"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</row>
    <row r="313" spans="15:73" x14ac:dyDescent="0.2"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</row>
    <row r="314" spans="15:73" x14ac:dyDescent="0.2"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</row>
    <row r="315" spans="15:73" x14ac:dyDescent="0.2"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</row>
    <row r="316" spans="15:73" x14ac:dyDescent="0.2"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</row>
    <row r="317" spans="15:73" x14ac:dyDescent="0.2"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</row>
    <row r="318" spans="15:73" x14ac:dyDescent="0.2"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</row>
    <row r="319" spans="15:73" x14ac:dyDescent="0.2"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</row>
    <row r="320" spans="15:73" x14ac:dyDescent="0.2"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</row>
    <row r="321" spans="15:73" x14ac:dyDescent="0.2"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</row>
    <row r="322" spans="15:73" x14ac:dyDescent="0.2"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</row>
    <row r="323" spans="15:73" x14ac:dyDescent="0.2"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</row>
    <row r="324" spans="15:73" x14ac:dyDescent="0.2"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</row>
    <row r="325" spans="15:73" x14ac:dyDescent="0.2"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</row>
    <row r="326" spans="15:73" x14ac:dyDescent="0.2"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</row>
    <row r="327" spans="15:73" x14ac:dyDescent="0.2"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</row>
    <row r="328" spans="15:73" x14ac:dyDescent="0.2"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</row>
    <row r="329" spans="15:73" x14ac:dyDescent="0.2"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</row>
    <row r="330" spans="15:73" x14ac:dyDescent="0.2"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</row>
    <row r="331" spans="15:73" x14ac:dyDescent="0.2"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</row>
    <row r="332" spans="15:73" x14ac:dyDescent="0.2"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</row>
    <row r="333" spans="15:73" x14ac:dyDescent="0.2"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</row>
    <row r="334" spans="15:73" x14ac:dyDescent="0.2"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</row>
    <row r="335" spans="15:73" x14ac:dyDescent="0.2"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</row>
    <row r="336" spans="15:73" x14ac:dyDescent="0.2"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</row>
    <row r="337" spans="15:73" x14ac:dyDescent="0.2"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</row>
    <row r="338" spans="15:73" x14ac:dyDescent="0.2"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</row>
    <row r="339" spans="15:73" x14ac:dyDescent="0.2"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</row>
    <row r="340" spans="15:73" x14ac:dyDescent="0.2"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</row>
    <row r="341" spans="15:73" x14ac:dyDescent="0.2"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</row>
    <row r="342" spans="15:73" x14ac:dyDescent="0.2"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</row>
    <row r="343" spans="15:73" x14ac:dyDescent="0.2"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</row>
    <row r="344" spans="15:73" x14ac:dyDescent="0.2"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</row>
    <row r="345" spans="15:73" x14ac:dyDescent="0.2"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</row>
    <row r="346" spans="15:73" x14ac:dyDescent="0.2"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</row>
    <row r="347" spans="15:73" x14ac:dyDescent="0.2"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</row>
    <row r="348" spans="15:73" x14ac:dyDescent="0.2"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</row>
    <row r="349" spans="15:73" x14ac:dyDescent="0.2"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</row>
    <row r="350" spans="15:73" x14ac:dyDescent="0.2"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</row>
    <row r="351" spans="15:73" x14ac:dyDescent="0.2"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</row>
    <row r="352" spans="15:73" x14ac:dyDescent="0.2"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</row>
    <row r="353" spans="15:73" x14ac:dyDescent="0.2"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</row>
    <row r="354" spans="15:73" x14ac:dyDescent="0.2"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</row>
    <row r="355" spans="15:73" x14ac:dyDescent="0.2"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</row>
    <row r="356" spans="15:73" x14ac:dyDescent="0.2"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</row>
    <row r="357" spans="15:73" x14ac:dyDescent="0.2"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</row>
    <row r="358" spans="15:73" x14ac:dyDescent="0.2"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</row>
    <row r="359" spans="15:73" x14ac:dyDescent="0.2"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</row>
    <row r="360" spans="15:73" x14ac:dyDescent="0.2"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</row>
    <row r="361" spans="15:73" x14ac:dyDescent="0.2"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</row>
    <row r="362" spans="15:73" x14ac:dyDescent="0.2"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</row>
    <row r="363" spans="15:73" x14ac:dyDescent="0.2"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</row>
    <row r="364" spans="15:73" x14ac:dyDescent="0.2"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</row>
    <row r="365" spans="15:73" x14ac:dyDescent="0.2"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</row>
    <row r="366" spans="15:73" x14ac:dyDescent="0.2"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</row>
    <row r="367" spans="15:73" x14ac:dyDescent="0.2"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</row>
    <row r="368" spans="15:73" x14ac:dyDescent="0.2"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</row>
    <row r="369" spans="15:73" x14ac:dyDescent="0.2"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</row>
    <row r="370" spans="15:73" x14ac:dyDescent="0.2"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</row>
    <row r="371" spans="15:73" x14ac:dyDescent="0.2"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</row>
    <row r="372" spans="15:73" x14ac:dyDescent="0.2"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</row>
    <row r="373" spans="15:73" x14ac:dyDescent="0.2"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</row>
    <row r="374" spans="15:73" x14ac:dyDescent="0.2"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</row>
    <row r="375" spans="15:73" x14ac:dyDescent="0.2"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</row>
    <row r="376" spans="15:73" x14ac:dyDescent="0.2"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</row>
    <row r="377" spans="15:73" x14ac:dyDescent="0.2"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</row>
    <row r="378" spans="15:73" x14ac:dyDescent="0.2"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</row>
    <row r="379" spans="15:73" x14ac:dyDescent="0.2"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</row>
    <row r="380" spans="15:73" x14ac:dyDescent="0.2"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</row>
    <row r="381" spans="15:73" x14ac:dyDescent="0.2"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</row>
    <row r="382" spans="15:73" x14ac:dyDescent="0.2"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</row>
    <row r="383" spans="15:73" x14ac:dyDescent="0.2"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</row>
    <row r="384" spans="15:73" x14ac:dyDescent="0.2"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</row>
    <row r="385" spans="15:73" x14ac:dyDescent="0.2"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</row>
    <row r="386" spans="15:73" x14ac:dyDescent="0.2"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</row>
    <row r="387" spans="15:73" x14ac:dyDescent="0.2"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</row>
    <row r="388" spans="15:73" x14ac:dyDescent="0.2"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</row>
    <row r="389" spans="15:73" x14ac:dyDescent="0.2"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</row>
    <row r="390" spans="15:73" x14ac:dyDescent="0.2"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</row>
    <row r="391" spans="15:73" x14ac:dyDescent="0.2"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</row>
    <row r="392" spans="15:73" x14ac:dyDescent="0.2"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</row>
    <row r="393" spans="15:73" x14ac:dyDescent="0.2"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</row>
    <row r="394" spans="15:73" x14ac:dyDescent="0.2"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</row>
    <row r="395" spans="15:73" x14ac:dyDescent="0.2"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</row>
    <row r="396" spans="15:73" x14ac:dyDescent="0.2"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</row>
    <row r="397" spans="15:73" x14ac:dyDescent="0.2"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</row>
    <row r="398" spans="15:73" x14ac:dyDescent="0.2"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</row>
    <row r="399" spans="15:73" x14ac:dyDescent="0.2"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</row>
    <row r="400" spans="15:73" x14ac:dyDescent="0.2"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</row>
    <row r="401" spans="15:73" x14ac:dyDescent="0.2"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</row>
    <row r="402" spans="15:73" x14ac:dyDescent="0.2"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</row>
    <row r="403" spans="15:73" x14ac:dyDescent="0.2"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</row>
    <row r="404" spans="15:73" x14ac:dyDescent="0.2"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</row>
    <row r="405" spans="15:73" x14ac:dyDescent="0.2"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</row>
    <row r="406" spans="15:73" x14ac:dyDescent="0.2"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</row>
    <row r="407" spans="15:73" x14ac:dyDescent="0.2"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</row>
    <row r="408" spans="15:73" x14ac:dyDescent="0.2"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</row>
    <row r="409" spans="15:73" x14ac:dyDescent="0.2"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</row>
    <row r="410" spans="15:73" x14ac:dyDescent="0.2"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</row>
    <row r="411" spans="15:73" x14ac:dyDescent="0.2"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</row>
    <row r="412" spans="15:73" x14ac:dyDescent="0.2"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</row>
    <row r="413" spans="15:73" x14ac:dyDescent="0.2"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</row>
    <row r="414" spans="15:73" x14ac:dyDescent="0.2"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</row>
    <row r="415" spans="15:73" x14ac:dyDescent="0.2"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</row>
    <row r="416" spans="15:73" x14ac:dyDescent="0.2"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</row>
    <row r="417" spans="15:73" x14ac:dyDescent="0.2"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</row>
    <row r="418" spans="15:73" x14ac:dyDescent="0.2"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  <c r="AS418" s="67"/>
      <c r="AT418" s="67"/>
      <c r="AU418" s="67"/>
      <c r="AV418" s="67"/>
      <c r="AW418" s="67"/>
      <c r="AX418" s="67"/>
      <c r="AY418" s="67"/>
      <c r="AZ418" s="67"/>
      <c r="BA418" s="67"/>
      <c r="BB418" s="67"/>
      <c r="BC418" s="67"/>
      <c r="BD418" s="67"/>
      <c r="BE418" s="67"/>
      <c r="BF418" s="67"/>
      <c r="BG418" s="67"/>
      <c r="BH418" s="67"/>
      <c r="BI418" s="67"/>
      <c r="BJ418" s="67"/>
      <c r="BK418" s="67"/>
      <c r="BL418" s="67"/>
      <c r="BM418" s="67"/>
      <c r="BN418" s="67"/>
      <c r="BO418" s="67"/>
      <c r="BP418" s="67"/>
      <c r="BQ418" s="67"/>
      <c r="BR418" s="67"/>
      <c r="BS418" s="67"/>
      <c r="BT418" s="67"/>
      <c r="BU418" s="67"/>
    </row>
    <row r="419" spans="15:73" x14ac:dyDescent="0.2"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  <c r="AS419" s="67"/>
      <c r="AT419" s="67"/>
      <c r="AU419" s="67"/>
      <c r="AV419" s="67"/>
      <c r="AW419" s="67"/>
      <c r="AX419" s="67"/>
      <c r="AY419" s="67"/>
      <c r="AZ419" s="67"/>
      <c r="BA419" s="67"/>
      <c r="BB419" s="67"/>
      <c r="BC419" s="67"/>
      <c r="BD419" s="67"/>
      <c r="BE419" s="67"/>
      <c r="BF419" s="67"/>
      <c r="BG419" s="67"/>
      <c r="BH419" s="67"/>
      <c r="BI419" s="67"/>
      <c r="BJ419" s="67"/>
      <c r="BK419" s="67"/>
      <c r="BL419" s="67"/>
      <c r="BM419" s="67"/>
      <c r="BN419" s="67"/>
      <c r="BO419" s="67"/>
      <c r="BP419" s="67"/>
      <c r="BQ419" s="67"/>
      <c r="BR419" s="67"/>
      <c r="BS419" s="67"/>
      <c r="BT419" s="67"/>
      <c r="BU419" s="67"/>
    </row>
    <row r="420" spans="15:73" x14ac:dyDescent="0.2"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  <c r="AS420" s="67"/>
      <c r="AT420" s="67"/>
      <c r="AU420" s="67"/>
      <c r="AV420" s="67"/>
      <c r="AW420" s="67"/>
      <c r="AX420" s="67"/>
      <c r="AY420" s="67"/>
      <c r="AZ420" s="67"/>
      <c r="BA420" s="67"/>
      <c r="BB420" s="67"/>
      <c r="BC420" s="67"/>
      <c r="BD420" s="67"/>
      <c r="BE420" s="67"/>
      <c r="BF420" s="67"/>
      <c r="BG420" s="67"/>
      <c r="BH420" s="67"/>
      <c r="BI420" s="67"/>
      <c r="BJ420" s="67"/>
      <c r="BK420" s="67"/>
      <c r="BL420" s="67"/>
      <c r="BM420" s="67"/>
      <c r="BN420" s="67"/>
      <c r="BO420" s="67"/>
      <c r="BP420" s="67"/>
      <c r="BQ420" s="67"/>
      <c r="BR420" s="67"/>
      <c r="BS420" s="67"/>
      <c r="BT420" s="67"/>
      <c r="BU420" s="67"/>
    </row>
    <row r="421" spans="15:73" x14ac:dyDescent="0.2"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  <c r="AF421" s="67"/>
      <c r="AG421" s="67"/>
      <c r="AH421" s="67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  <c r="AS421" s="67"/>
      <c r="AT421" s="67"/>
      <c r="AU421" s="67"/>
      <c r="AV421" s="67"/>
      <c r="AW421" s="67"/>
      <c r="AX421" s="67"/>
      <c r="AY421" s="67"/>
      <c r="AZ421" s="67"/>
      <c r="BA421" s="67"/>
      <c r="BB421" s="67"/>
      <c r="BC421" s="67"/>
      <c r="BD421" s="67"/>
      <c r="BE421" s="67"/>
      <c r="BF421" s="67"/>
      <c r="BG421" s="67"/>
      <c r="BH421" s="67"/>
      <c r="BI421" s="67"/>
      <c r="BJ421" s="67"/>
      <c r="BK421" s="67"/>
      <c r="BL421" s="67"/>
      <c r="BM421" s="67"/>
      <c r="BN421" s="67"/>
      <c r="BO421" s="67"/>
      <c r="BP421" s="67"/>
      <c r="BQ421" s="67"/>
      <c r="BR421" s="67"/>
      <c r="BS421" s="67"/>
      <c r="BT421" s="67"/>
      <c r="BU421" s="67"/>
    </row>
    <row r="422" spans="15:73" x14ac:dyDescent="0.2"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  <c r="AS422" s="67"/>
      <c r="AT422" s="67"/>
      <c r="AU422" s="67"/>
      <c r="AV422" s="67"/>
      <c r="AW422" s="67"/>
      <c r="AX422" s="67"/>
      <c r="AY422" s="67"/>
      <c r="AZ422" s="67"/>
      <c r="BA422" s="67"/>
      <c r="BB422" s="67"/>
      <c r="BC422" s="67"/>
      <c r="BD422" s="67"/>
      <c r="BE422" s="67"/>
      <c r="BF422" s="67"/>
      <c r="BG422" s="67"/>
      <c r="BH422" s="67"/>
      <c r="BI422" s="67"/>
      <c r="BJ422" s="67"/>
      <c r="BK422" s="67"/>
      <c r="BL422" s="67"/>
      <c r="BM422" s="67"/>
      <c r="BN422" s="67"/>
      <c r="BO422" s="67"/>
      <c r="BP422" s="67"/>
      <c r="BQ422" s="67"/>
      <c r="BR422" s="67"/>
      <c r="BS422" s="67"/>
      <c r="BT422" s="67"/>
      <c r="BU422" s="67"/>
    </row>
    <row r="423" spans="15:73" x14ac:dyDescent="0.2"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  <c r="AS423" s="67"/>
      <c r="AT423" s="67"/>
      <c r="AU423" s="67"/>
      <c r="AV423" s="67"/>
      <c r="AW423" s="67"/>
      <c r="AX423" s="67"/>
      <c r="AY423" s="67"/>
      <c r="AZ423" s="67"/>
      <c r="BA423" s="67"/>
      <c r="BB423" s="67"/>
      <c r="BC423" s="67"/>
      <c r="BD423" s="67"/>
      <c r="BE423" s="67"/>
      <c r="BF423" s="67"/>
      <c r="BG423" s="67"/>
      <c r="BH423" s="67"/>
      <c r="BI423" s="67"/>
      <c r="BJ423" s="67"/>
      <c r="BK423" s="67"/>
      <c r="BL423" s="67"/>
      <c r="BM423" s="67"/>
      <c r="BN423" s="67"/>
      <c r="BO423" s="67"/>
      <c r="BP423" s="67"/>
      <c r="BQ423" s="67"/>
      <c r="BR423" s="67"/>
      <c r="BS423" s="67"/>
      <c r="BT423" s="67"/>
      <c r="BU423" s="67"/>
    </row>
    <row r="424" spans="15:73" x14ac:dyDescent="0.2"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  <c r="AF424" s="67"/>
      <c r="AG424" s="67"/>
      <c r="AH424" s="67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  <c r="AS424" s="67"/>
      <c r="AT424" s="67"/>
      <c r="AU424" s="67"/>
      <c r="AV424" s="67"/>
      <c r="AW424" s="67"/>
      <c r="AX424" s="67"/>
      <c r="AY424" s="67"/>
      <c r="AZ424" s="67"/>
      <c r="BA424" s="67"/>
      <c r="BB424" s="67"/>
      <c r="BC424" s="67"/>
      <c r="BD424" s="67"/>
      <c r="BE424" s="67"/>
      <c r="BF424" s="67"/>
      <c r="BG424" s="67"/>
      <c r="BH424" s="67"/>
      <c r="BI424" s="67"/>
      <c r="BJ424" s="67"/>
      <c r="BK424" s="67"/>
      <c r="BL424" s="67"/>
      <c r="BM424" s="67"/>
      <c r="BN424" s="67"/>
      <c r="BO424" s="67"/>
      <c r="BP424" s="67"/>
      <c r="BQ424" s="67"/>
      <c r="BR424" s="67"/>
      <c r="BS424" s="67"/>
      <c r="BT424" s="67"/>
      <c r="BU424" s="67"/>
    </row>
    <row r="425" spans="15:73" x14ac:dyDescent="0.2"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  <c r="AF425" s="67"/>
      <c r="AG425" s="67"/>
      <c r="AH425" s="67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  <c r="AS425" s="67"/>
      <c r="AT425" s="67"/>
      <c r="AU425" s="67"/>
      <c r="AV425" s="67"/>
      <c r="AW425" s="67"/>
      <c r="AX425" s="67"/>
      <c r="AY425" s="67"/>
      <c r="AZ425" s="67"/>
      <c r="BA425" s="67"/>
      <c r="BB425" s="67"/>
      <c r="BC425" s="67"/>
      <c r="BD425" s="67"/>
      <c r="BE425" s="67"/>
      <c r="BF425" s="67"/>
      <c r="BG425" s="67"/>
      <c r="BH425" s="67"/>
      <c r="BI425" s="67"/>
      <c r="BJ425" s="67"/>
      <c r="BK425" s="67"/>
      <c r="BL425" s="67"/>
      <c r="BM425" s="67"/>
      <c r="BN425" s="67"/>
      <c r="BO425" s="67"/>
      <c r="BP425" s="67"/>
      <c r="BQ425" s="67"/>
      <c r="BR425" s="67"/>
      <c r="BS425" s="67"/>
      <c r="BT425" s="67"/>
      <c r="BU425" s="67"/>
    </row>
    <row r="426" spans="15:73" x14ac:dyDescent="0.2"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  <c r="AS426" s="67"/>
      <c r="AT426" s="67"/>
      <c r="AU426" s="67"/>
      <c r="AV426" s="67"/>
      <c r="AW426" s="67"/>
      <c r="AX426" s="67"/>
      <c r="AY426" s="67"/>
      <c r="AZ426" s="67"/>
      <c r="BA426" s="67"/>
      <c r="BB426" s="67"/>
      <c r="BC426" s="67"/>
      <c r="BD426" s="67"/>
      <c r="BE426" s="67"/>
      <c r="BF426" s="67"/>
      <c r="BG426" s="67"/>
      <c r="BH426" s="67"/>
      <c r="BI426" s="67"/>
      <c r="BJ426" s="67"/>
      <c r="BK426" s="67"/>
      <c r="BL426" s="67"/>
      <c r="BM426" s="67"/>
      <c r="BN426" s="67"/>
      <c r="BO426" s="67"/>
      <c r="BP426" s="67"/>
      <c r="BQ426" s="67"/>
      <c r="BR426" s="67"/>
      <c r="BS426" s="67"/>
      <c r="BT426" s="67"/>
      <c r="BU426" s="67"/>
    </row>
    <row r="427" spans="15:73" x14ac:dyDescent="0.2"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  <c r="AF427" s="67"/>
      <c r="AG427" s="67"/>
      <c r="AH427" s="67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  <c r="AS427" s="67"/>
      <c r="AT427" s="67"/>
      <c r="AU427" s="67"/>
      <c r="AV427" s="67"/>
      <c r="AW427" s="67"/>
      <c r="AX427" s="67"/>
      <c r="AY427" s="67"/>
      <c r="AZ427" s="67"/>
      <c r="BA427" s="67"/>
      <c r="BB427" s="67"/>
      <c r="BC427" s="67"/>
      <c r="BD427" s="67"/>
      <c r="BE427" s="67"/>
      <c r="BF427" s="67"/>
      <c r="BG427" s="67"/>
      <c r="BH427" s="67"/>
      <c r="BI427" s="67"/>
      <c r="BJ427" s="67"/>
      <c r="BK427" s="67"/>
      <c r="BL427" s="67"/>
      <c r="BM427" s="67"/>
      <c r="BN427" s="67"/>
      <c r="BO427" s="67"/>
      <c r="BP427" s="67"/>
      <c r="BQ427" s="67"/>
      <c r="BR427" s="67"/>
      <c r="BS427" s="67"/>
      <c r="BT427" s="67"/>
      <c r="BU427" s="67"/>
    </row>
    <row r="428" spans="15:73" x14ac:dyDescent="0.2"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  <c r="AF428" s="67"/>
      <c r="AG428" s="67"/>
      <c r="AH428" s="67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  <c r="AS428" s="67"/>
      <c r="AT428" s="67"/>
      <c r="AU428" s="67"/>
      <c r="AV428" s="67"/>
      <c r="AW428" s="67"/>
      <c r="AX428" s="67"/>
      <c r="AY428" s="67"/>
      <c r="AZ428" s="67"/>
      <c r="BA428" s="67"/>
      <c r="BB428" s="67"/>
      <c r="BC428" s="67"/>
      <c r="BD428" s="67"/>
      <c r="BE428" s="67"/>
      <c r="BF428" s="67"/>
      <c r="BG428" s="67"/>
      <c r="BH428" s="67"/>
      <c r="BI428" s="67"/>
      <c r="BJ428" s="67"/>
      <c r="BK428" s="67"/>
      <c r="BL428" s="67"/>
      <c r="BM428" s="67"/>
      <c r="BN428" s="67"/>
      <c r="BO428" s="67"/>
      <c r="BP428" s="67"/>
      <c r="BQ428" s="67"/>
      <c r="BR428" s="67"/>
      <c r="BS428" s="67"/>
      <c r="BT428" s="67"/>
      <c r="BU428" s="67"/>
    </row>
    <row r="429" spans="15:73" x14ac:dyDescent="0.2"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  <c r="AS429" s="67"/>
      <c r="AT429" s="67"/>
      <c r="AU429" s="67"/>
      <c r="AV429" s="67"/>
      <c r="AW429" s="67"/>
      <c r="AX429" s="67"/>
      <c r="AY429" s="67"/>
      <c r="AZ429" s="67"/>
      <c r="BA429" s="67"/>
      <c r="BB429" s="67"/>
      <c r="BC429" s="67"/>
      <c r="BD429" s="67"/>
      <c r="BE429" s="67"/>
      <c r="BF429" s="67"/>
      <c r="BG429" s="67"/>
      <c r="BH429" s="67"/>
      <c r="BI429" s="67"/>
      <c r="BJ429" s="67"/>
      <c r="BK429" s="67"/>
      <c r="BL429" s="67"/>
      <c r="BM429" s="67"/>
      <c r="BN429" s="67"/>
      <c r="BO429" s="67"/>
      <c r="BP429" s="67"/>
      <c r="BQ429" s="67"/>
      <c r="BR429" s="67"/>
      <c r="BS429" s="67"/>
      <c r="BT429" s="67"/>
      <c r="BU429" s="67"/>
    </row>
    <row r="430" spans="15:73" x14ac:dyDescent="0.2"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  <c r="AS430" s="67"/>
      <c r="AT430" s="67"/>
      <c r="AU430" s="67"/>
      <c r="AV430" s="67"/>
      <c r="AW430" s="67"/>
      <c r="AX430" s="67"/>
      <c r="AY430" s="67"/>
      <c r="AZ430" s="67"/>
      <c r="BA430" s="67"/>
      <c r="BB430" s="67"/>
      <c r="BC430" s="67"/>
      <c r="BD430" s="67"/>
      <c r="BE430" s="67"/>
      <c r="BF430" s="67"/>
      <c r="BG430" s="67"/>
      <c r="BH430" s="67"/>
      <c r="BI430" s="67"/>
      <c r="BJ430" s="67"/>
      <c r="BK430" s="67"/>
      <c r="BL430" s="67"/>
      <c r="BM430" s="67"/>
      <c r="BN430" s="67"/>
      <c r="BO430" s="67"/>
      <c r="BP430" s="67"/>
      <c r="BQ430" s="67"/>
      <c r="BR430" s="67"/>
      <c r="BS430" s="67"/>
      <c r="BT430" s="67"/>
      <c r="BU430" s="67"/>
    </row>
    <row r="431" spans="15:73" x14ac:dyDescent="0.2"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  <c r="AS431" s="67"/>
      <c r="AT431" s="67"/>
      <c r="AU431" s="67"/>
      <c r="AV431" s="67"/>
      <c r="AW431" s="67"/>
      <c r="AX431" s="67"/>
      <c r="AY431" s="67"/>
      <c r="AZ431" s="67"/>
      <c r="BA431" s="67"/>
      <c r="BB431" s="67"/>
      <c r="BC431" s="67"/>
      <c r="BD431" s="67"/>
      <c r="BE431" s="67"/>
      <c r="BF431" s="67"/>
      <c r="BG431" s="67"/>
      <c r="BH431" s="67"/>
      <c r="BI431" s="67"/>
      <c r="BJ431" s="67"/>
      <c r="BK431" s="67"/>
      <c r="BL431" s="67"/>
      <c r="BM431" s="67"/>
      <c r="BN431" s="67"/>
      <c r="BO431" s="67"/>
      <c r="BP431" s="67"/>
      <c r="BQ431" s="67"/>
      <c r="BR431" s="67"/>
      <c r="BS431" s="67"/>
      <c r="BT431" s="67"/>
      <c r="BU431" s="67"/>
    </row>
    <row r="432" spans="15:73" x14ac:dyDescent="0.2"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  <c r="AE432" s="67"/>
      <c r="AF432" s="67"/>
      <c r="AG432" s="67"/>
      <c r="AH432" s="67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  <c r="AS432" s="67"/>
      <c r="AT432" s="67"/>
      <c r="AU432" s="67"/>
      <c r="AV432" s="67"/>
      <c r="AW432" s="67"/>
      <c r="AX432" s="67"/>
      <c r="AY432" s="67"/>
      <c r="AZ432" s="67"/>
      <c r="BA432" s="67"/>
      <c r="BB432" s="67"/>
      <c r="BC432" s="67"/>
      <c r="BD432" s="67"/>
      <c r="BE432" s="67"/>
      <c r="BF432" s="67"/>
      <c r="BG432" s="67"/>
      <c r="BH432" s="67"/>
      <c r="BI432" s="67"/>
      <c r="BJ432" s="67"/>
      <c r="BK432" s="67"/>
      <c r="BL432" s="67"/>
      <c r="BM432" s="67"/>
      <c r="BN432" s="67"/>
      <c r="BO432" s="67"/>
      <c r="BP432" s="67"/>
      <c r="BQ432" s="67"/>
      <c r="BR432" s="67"/>
      <c r="BS432" s="67"/>
      <c r="BT432" s="67"/>
      <c r="BU432" s="67"/>
    </row>
    <row r="433" spans="15:73" x14ac:dyDescent="0.2"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  <c r="AE433" s="67"/>
      <c r="AF433" s="67"/>
      <c r="AG433" s="67"/>
      <c r="AH433" s="67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  <c r="AS433" s="67"/>
      <c r="AT433" s="67"/>
      <c r="AU433" s="67"/>
      <c r="AV433" s="67"/>
      <c r="AW433" s="67"/>
      <c r="AX433" s="67"/>
      <c r="AY433" s="67"/>
      <c r="AZ433" s="67"/>
      <c r="BA433" s="67"/>
      <c r="BB433" s="67"/>
      <c r="BC433" s="67"/>
      <c r="BD433" s="67"/>
      <c r="BE433" s="67"/>
      <c r="BF433" s="67"/>
      <c r="BG433" s="67"/>
      <c r="BH433" s="67"/>
      <c r="BI433" s="67"/>
      <c r="BJ433" s="67"/>
      <c r="BK433" s="67"/>
      <c r="BL433" s="67"/>
      <c r="BM433" s="67"/>
      <c r="BN433" s="67"/>
      <c r="BO433" s="67"/>
      <c r="BP433" s="67"/>
      <c r="BQ433" s="67"/>
      <c r="BR433" s="67"/>
      <c r="BS433" s="67"/>
      <c r="BT433" s="67"/>
      <c r="BU433" s="67"/>
    </row>
    <row r="434" spans="15:73" x14ac:dyDescent="0.2"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  <c r="AE434" s="67"/>
      <c r="AF434" s="67"/>
      <c r="AG434" s="67"/>
      <c r="AH434" s="67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  <c r="AS434" s="67"/>
      <c r="AT434" s="67"/>
      <c r="AU434" s="67"/>
      <c r="AV434" s="67"/>
      <c r="AW434" s="67"/>
      <c r="AX434" s="67"/>
      <c r="AY434" s="67"/>
      <c r="AZ434" s="67"/>
      <c r="BA434" s="67"/>
      <c r="BB434" s="67"/>
      <c r="BC434" s="67"/>
      <c r="BD434" s="67"/>
      <c r="BE434" s="67"/>
      <c r="BF434" s="67"/>
      <c r="BG434" s="67"/>
      <c r="BH434" s="67"/>
      <c r="BI434" s="67"/>
      <c r="BJ434" s="67"/>
      <c r="BK434" s="67"/>
      <c r="BL434" s="67"/>
      <c r="BM434" s="67"/>
      <c r="BN434" s="67"/>
      <c r="BO434" s="67"/>
      <c r="BP434" s="67"/>
      <c r="BQ434" s="67"/>
      <c r="BR434" s="67"/>
      <c r="BS434" s="67"/>
      <c r="BT434" s="67"/>
      <c r="BU434" s="67"/>
    </row>
    <row r="435" spans="15:73" x14ac:dyDescent="0.2"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  <c r="AE435" s="67"/>
      <c r="AF435" s="67"/>
      <c r="AG435" s="67"/>
      <c r="AH435" s="67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  <c r="AS435" s="67"/>
      <c r="AT435" s="67"/>
      <c r="AU435" s="67"/>
      <c r="AV435" s="67"/>
      <c r="AW435" s="67"/>
      <c r="AX435" s="67"/>
      <c r="AY435" s="67"/>
      <c r="AZ435" s="67"/>
      <c r="BA435" s="67"/>
      <c r="BB435" s="67"/>
      <c r="BC435" s="67"/>
      <c r="BD435" s="67"/>
      <c r="BE435" s="67"/>
      <c r="BF435" s="67"/>
      <c r="BG435" s="67"/>
      <c r="BH435" s="67"/>
      <c r="BI435" s="67"/>
      <c r="BJ435" s="67"/>
      <c r="BK435" s="67"/>
      <c r="BL435" s="67"/>
      <c r="BM435" s="67"/>
      <c r="BN435" s="67"/>
      <c r="BO435" s="67"/>
      <c r="BP435" s="67"/>
      <c r="BQ435" s="67"/>
      <c r="BR435" s="67"/>
      <c r="BS435" s="67"/>
      <c r="BT435" s="67"/>
      <c r="BU435" s="67"/>
    </row>
    <row r="436" spans="15:73" x14ac:dyDescent="0.2"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/>
      <c r="AF436" s="67"/>
      <c r="AG436" s="67"/>
      <c r="AH436" s="67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  <c r="AS436" s="67"/>
      <c r="AT436" s="67"/>
      <c r="AU436" s="67"/>
      <c r="AV436" s="67"/>
      <c r="AW436" s="67"/>
      <c r="AX436" s="67"/>
      <c r="AY436" s="67"/>
      <c r="AZ436" s="67"/>
      <c r="BA436" s="67"/>
      <c r="BB436" s="67"/>
      <c r="BC436" s="67"/>
      <c r="BD436" s="67"/>
      <c r="BE436" s="67"/>
      <c r="BF436" s="67"/>
      <c r="BG436" s="67"/>
      <c r="BH436" s="67"/>
      <c r="BI436" s="67"/>
      <c r="BJ436" s="67"/>
      <c r="BK436" s="67"/>
      <c r="BL436" s="67"/>
      <c r="BM436" s="67"/>
      <c r="BN436" s="67"/>
      <c r="BO436" s="67"/>
      <c r="BP436" s="67"/>
      <c r="BQ436" s="67"/>
      <c r="BR436" s="67"/>
      <c r="BS436" s="67"/>
      <c r="BT436" s="67"/>
      <c r="BU436" s="67"/>
    </row>
    <row r="437" spans="15:73" x14ac:dyDescent="0.2"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  <c r="AE437" s="67"/>
      <c r="AF437" s="67"/>
      <c r="AG437" s="67"/>
      <c r="AH437" s="67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  <c r="AS437" s="67"/>
      <c r="AT437" s="67"/>
      <c r="AU437" s="67"/>
      <c r="AV437" s="67"/>
      <c r="AW437" s="67"/>
      <c r="AX437" s="67"/>
      <c r="AY437" s="67"/>
      <c r="AZ437" s="67"/>
      <c r="BA437" s="67"/>
      <c r="BB437" s="67"/>
      <c r="BC437" s="67"/>
      <c r="BD437" s="67"/>
      <c r="BE437" s="67"/>
      <c r="BF437" s="67"/>
      <c r="BG437" s="67"/>
      <c r="BH437" s="67"/>
      <c r="BI437" s="67"/>
      <c r="BJ437" s="67"/>
      <c r="BK437" s="67"/>
      <c r="BL437" s="67"/>
      <c r="BM437" s="67"/>
      <c r="BN437" s="67"/>
      <c r="BO437" s="67"/>
      <c r="BP437" s="67"/>
      <c r="BQ437" s="67"/>
      <c r="BR437" s="67"/>
      <c r="BS437" s="67"/>
      <c r="BT437" s="67"/>
      <c r="BU437" s="67"/>
    </row>
    <row r="438" spans="15:73" x14ac:dyDescent="0.2"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  <c r="AE438" s="67"/>
      <c r="AF438" s="67"/>
      <c r="AG438" s="67"/>
      <c r="AH438" s="67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  <c r="AS438" s="67"/>
      <c r="AT438" s="67"/>
      <c r="AU438" s="67"/>
      <c r="AV438" s="67"/>
      <c r="AW438" s="67"/>
      <c r="AX438" s="67"/>
      <c r="AY438" s="67"/>
      <c r="AZ438" s="67"/>
      <c r="BA438" s="67"/>
      <c r="BB438" s="67"/>
      <c r="BC438" s="67"/>
      <c r="BD438" s="67"/>
      <c r="BE438" s="67"/>
      <c r="BF438" s="67"/>
      <c r="BG438" s="67"/>
      <c r="BH438" s="67"/>
      <c r="BI438" s="67"/>
      <c r="BJ438" s="67"/>
      <c r="BK438" s="67"/>
      <c r="BL438" s="67"/>
      <c r="BM438" s="67"/>
      <c r="BN438" s="67"/>
      <c r="BO438" s="67"/>
      <c r="BP438" s="67"/>
      <c r="BQ438" s="67"/>
      <c r="BR438" s="67"/>
      <c r="BS438" s="67"/>
      <c r="BT438" s="67"/>
      <c r="BU438" s="67"/>
    </row>
    <row r="439" spans="15:73" x14ac:dyDescent="0.2"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  <c r="AE439" s="67"/>
      <c r="AF439" s="67"/>
      <c r="AG439" s="67"/>
      <c r="AH439" s="67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  <c r="AS439" s="67"/>
      <c r="AT439" s="67"/>
      <c r="AU439" s="67"/>
      <c r="AV439" s="67"/>
      <c r="AW439" s="67"/>
      <c r="AX439" s="67"/>
      <c r="AY439" s="67"/>
      <c r="AZ439" s="67"/>
      <c r="BA439" s="67"/>
      <c r="BB439" s="67"/>
      <c r="BC439" s="67"/>
      <c r="BD439" s="67"/>
      <c r="BE439" s="67"/>
      <c r="BF439" s="67"/>
      <c r="BG439" s="67"/>
      <c r="BH439" s="67"/>
      <c r="BI439" s="67"/>
      <c r="BJ439" s="67"/>
      <c r="BK439" s="67"/>
      <c r="BL439" s="67"/>
      <c r="BM439" s="67"/>
      <c r="BN439" s="67"/>
      <c r="BO439" s="67"/>
      <c r="BP439" s="67"/>
      <c r="BQ439" s="67"/>
      <c r="BR439" s="67"/>
      <c r="BS439" s="67"/>
      <c r="BT439" s="67"/>
      <c r="BU439" s="67"/>
    </row>
    <row r="440" spans="15:73" x14ac:dyDescent="0.2"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  <c r="AE440" s="67"/>
      <c r="AF440" s="67"/>
      <c r="AG440" s="67"/>
      <c r="AH440" s="67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  <c r="AS440" s="67"/>
      <c r="AT440" s="67"/>
      <c r="AU440" s="67"/>
      <c r="AV440" s="67"/>
      <c r="AW440" s="67"/>
      <c r="AX440" s="67"/>
      <c r="AY440" s="67"/>
      <c r="AZ440" s="67"/>
      <c r="BA440" s="67"/>
      <c r="BB440" s="67"/>
      <c r="BC440" s="67"/>
      <c r="BD440" s="67"/>
      <c r="BE440" s="67"/>
      <c r="BF440" s="67"/>
      <c r="BG440" s="67"/>
      <c r="BH440" s="67"/>
      <c r="BI440" s="67"/>
      <c r="BJ440" s="67"/>
      <c r="BK440" s="67"/>
      <c r="BL440" s="67"/>
      <c r="BM440" s="67"/>
      <c r="BN440" s="67"/>
      <c r="BO440" s="67"/>
      <c r="BP440" s="67"/>
      <c r="BQ440" s="67"/>
      <c r="BR440" s="67"/>
      <c r="BS440" s="67"/>
      <c r="BT440" s="67"/>
      <c r="BU440" s="67"/>
    </row>
    <row r="441" spans="15:73" x14ac:dyDescent="0.2"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  <c r="AF441" s="67"/>
      <c r="AG441" s="67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  <c r="AS441" s="67"/>
      <c r="AT441" s="67"/>
      <c r="AU441" s="67"/>
      <c r="AV441" s="67"/>
      <c r="AW441" s="67"/>
      <c r="AX441" s="67"/>
      <c r="AY441" s="67"/>
      <c r="AZ441" s="67"/>
      <c r="BA441" s="67"/>
      <c r="BB441" s="67"/>
      <c r="BC441" s="67"/>
      <c r="BD441" s="67"/>
      <c r="BE441" s="67"/>
      <c r="BF441" s="67"/>
      <c r="BG441" s="67"/>
      <c r="BH441" s="67"/>
      <c r="BI441" s="67"/>
      <c r="BJ441" s="67"/>
      <c r="BK441" s="67"/>
      <c r="BL441" s="67"/>
      <c r="BM441" s="67"/>
      <c r="BN441" s="67"/>
      <c r="BO441" s="67"/>
      <c r="BP441" s="67"/>
      <c r="BQ441" s="67"/>
      <c r="BR441" s="67"/>
      <c r="BS441" s="67"/>
      <c r="BT441" s="67"/>
      <c r="BU441" s="67"/>
    </row>
    <row r="442" spans="15:73" x14ac:dyDescent="0.2"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  <c r="AF442" s="67"/>
      <c r="AG442" s="67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  <c r="AS442" s="67"/>
      <c r="AT442" s="67"/>
      <c r="AU442" s="67"/>
      <c r="AV442" s="67"/>
      <c r="AW442" s="67"/>
      <c r="AX442" s="67"/>
      <c r="AY442" s="67"/>
      <c r="AZ442" s="67"/>
      <c r="BA442" s="67"/>
      <c r="BB442" s="67"/>
      <c r="BC442" s="67"/>
      <c r="BD442" s="67"/>
      <c r="BE442" s="67"/>
      <c r="BF442" s="67"/>
      <c r="BG442" s="67"/>
      <c r="BH442" s="67"/>
      <c r="BI442" s="67"/>
      <c r="BJ442" s="67"/>
      <c r="BK442" s="67"/>
      <c r="BL442" s="67"/>
      <c r="BM442" s="67"/>
      <c r="BN442" s="67"/>
      <c r="BO442" s="67"/>
      <c r="BP442" s="67"/>
      <c r="BQ442" s="67"/>
      <c r="BR442" s="67"/>
      <c r="BS442" s="67"/>
      <c r="BT442" s="67"/>
      <c r="BU442" s="67"/>
    </row>
    <row r="443" spans="15:73" x14ac:dyDescent="0.2"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  <c r="AT443" s="67"/>
      <c r="AU443" s="67"/>
      <c r="AV443" s="67"/>
      <c r="AW443" s="67"/>
      <c r="AX443" s="67"/>
      <c r="AY443" s="67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67"/>
      <c r="BM443" s="67"/>
      <c r="BN443" s="67"/>
      <c r="BO443" s="67"/>
      <c r="BP443" s="67"/>
      <c r="BQ443" s="67"/>
      <c r="BR443" s="67"/>
      <c r="BS443" s="67"/>
      <c r="BT443" s="67"/>
      <c r="BU443" s="67"/>
    </row>
    <row r="444" spans="15:73" x14ac:dyDescent="0.2"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  <c r="AE444" s="67"/>
      <c r="AF444" s="67"/>
      <c r="AG444" s="67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  <c r="AS444" s="67"/>
      <c r="AT444" s="67"/>
      <c r="AU444" s="67"/>
      <c r="AV444" s="67"/>
      <c r="AW444" s="67"/>
      <c r="AX444" s="67"/>
      <c r="AY444" s="67"/>
      <c r="AZ444" s="67"/>
      <c r="BA444" s="67"/>
      <c r="BB444" s="67"/>
      <c r="BC444" s="67"/>
      <c r="BD444" s="67"/>
      <c r="BE444" s="67"/>
      <c r="BF444" s="67"/>
      <c r="BG444" s="67"/>
      <c r="BH444" s="67"/>
      <c r="BI444" s="67"/>
      <c r="BJ444" s="67"/>
      <c r="BK444" s="67"/>
      <c r="BL444" s="67"/>
      <c r="BM444" s="67"/>
      <c r="BN444" s="67"/>
      <c r="BO444" s="67"/>
      <c r="BP444" s="67"/>
      <c r="BQ444" s="67"/>
      <c r="BR444" s="67"/>
      <c r="BS444" s="67"/>
      <c r="BT444" s="67"/>
      <c r="BU444" s="67"/>
    </row>
    <row r="445" spans="15:73" x14ac:dyDescent="0.2"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  <c r="AE445" s="67"/>
      <c r="AF445" s="67"/>
      <c r="AG445" s="67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  <c r="AS445" s="67"/>
      <c r="AT445" s="67"/>
      <c r="AU445" s="67"/>
      <c r="AV445" s="67"/>
      <c r="AW445" s="67"/>
      <c r="AX445" s="67"/>
      <c r="AY445" s="67"/>
      <c r="AZ445" s="67"/>
      <c r="BA445" s="67"/>
      <c r="BB445" s="67"/>
      <c r="BC445" s="67"/>
      <c r="BD445" s="67"/>
      <c r="BE445" s="67"/>
      <c r="BF445" s="67"/>
      <c r="BG445" s="67"/>
      <c r="BH445" s="67"/>
      <c r="BI445" s="67"/>
      <c r="BJ445" s="67"/>
      <c r="BK445" s="67"/>
      <c r="BL445" s="67"/>
      <c r="BM445" s="67"/>
      <c r="BN445" s="67"/>
      <c r="BO445" s="67"/>
      <c r="BP445" s="67"/>
      <c r="BQ445" s="67"/>
      <c r="BR445" s="67"/>
      <c r="BS445" s="67"/>
      <c r="BT445" s="67"/>
      <c r="BU445" s="67"/>
    </row>
    <row r="446" spans="15:73" x14ac:dyDescent="0.2"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  <c r="AE446" s="67"/>
      <c r="AF446" s="67"/>
      <c r="AG446" s="67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  <c r="AS446" s="67"/>
      <c r="AT446" s="67"/>
      <c r="AU446" s="67"/>
      <c r="AV446" s="67"/>
      <c r="AW446" s="67"/>
      <c r="AX446" s="67"/>
      <c r="AY446" s="67"/>
      <c r="AZ446" s="67"/>
      <c r="BA446" s="67"/>
      <c r="BB446" s="67"/>
      <c r="BC446" s="67"/>
      <c r="BD446" s="67"/>
      <c r="BE446" s="67"/>
      <c r="BF446" s="67"/>
      <c r="BG446" s="67"/>
      <c r="BH446" s="67"/>
      <c r="BI446" s="67"/>
      <c r="BJ446" s="67"/>
      <c r="BK446" s="67"/>
      <c r="BL446" s="67"/>
      <c r="BM446" s="67"/>
      <c r="BN446" s="67"/>
      <c r="BO446" s="67"/>
      <c r="BP446" s="67"/>
      <c r="BQ446" s="67"/>
      <c r="BR446" s="67"/>
      <c r="BS446" s="67"/>
      <c r="BT446" s="67"/>
      <c r="BU446" s="67"/>
    </row>
    <row r="447" spans="15:73" x14ac:dyDescent="0.2"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  <c r="AS447" s="67"/>
      <c r="AT447" s="67"/>
      <c r="AU447" s="67"/>
      <c r="AV447" s="67"/>
      <c r="AW447" s="67"/>
      <c r="AX447" s="67"/>
      <c r="AY447" s="67"/>
      <c r="AZ447" s="67"/>
      <c r="BA447" s="67"/>
      <c r="BB447" s="67"/>
      <c r="BC447" s="67"/>
      <c r="BD447" s="67"/>
      <c r="BE447" s="67"/>
      <c r="BF447" s="67"/>
      <c r="BG447" s="67"/>
      <c r="BH447" s="67"/>
      <c r="BI447" s="67"/>
      <c r="BJ447" s="67"/>
      <c r="BK447" s="67"/>
      <c r="BL447" s="67"/>
      <c r="BM447" s="67"/>
      <c r="BN447" s="67"/>
      <c r="BO447" s="67"/>
      <c r="BP447" s="67"/>
      <c r="BQ447" s="67"/>
      <c r="BR447" s="67"/>
      <c r="BS447" s="67"/>
      <c r="BT447" s="67"/>
      <c r="BU447" s="67"/>
    </row>
    <row r="448" spans="15:73" x14ac:dyDescent="0.2"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  <c r="AE448" s="67"/>
      <c r="AF448" s="67"/>
      <c r="AG448" s="67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  <c r="AS448" s="67"/>
      <c r="AT448" s="67"/>
      <c r="AU448" s="67"/>
      <c r="AV448" s="67"/>
      <c r="AW448" s="67"/>
      <c r="AX448" s="67"/>
      <c r="AY448" s="67"/>
      <c r="AZ448" s="67"/>
      <c r="BA448" s="67"/>
      <c r="BB448" s="67"/>
      <c r="BC448" s="67"/>
      <c r="BD448" s="67"/>
      <c r="BE448" s="67"/>
      <c r="BF448" s="67"/>
      <c r="BG448" s="67"/>
      <c r="BH448" s="67"/>
      <c r="BI448" s="67"/>
      <c r="BJ448" s="67"/>
      <c r="BK448" s="67"/>
      <c r="BL448" s="67"/>
      <c r="BM448" s="67"/>
      <c r="BN448" s="67"/>
      <c r="BO448" s="67"/>
      <c r="BP448" s="67"/>
      <c r="BQ448" s="67"/>
      <c r="BR448" s="67"/>
      <c r="BS448" s="67"/>
      <c r="BT448" s="67"/>
      <c r="BU448" s="67"/>
    </row>
    <row r="449" spans="15:73" x14ac:dyDescent="0.2"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F449" s="67"/>
      <c r="AG449" s="67"/>
      <c r="AH449" s="67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  <c r="AS449" s="67"/>
      <c r="AT449" s="67"/>
      <c r="AU449" s="67"/>
      <c r="AV449" s="67"/>
      <c r="AW449" s="67"/>
      <c r="AX449" s="67"/>
      <c r="AY449" s="67"/>
      <c r="AZ449" s="67"/>
      <c r="BA449" s="67"/>
      <c r="BB449" s="67"/>
      <c r="BC449" s="67"/>
      <c r="BD449" s="67"/>
      <c r="BE449" s="67"/>
      <c r="BF449" s="67"/>
      <c r="BG449" s="67"/>
      <c r="BH449" s="67"/>
      <c r="BI449" s="67"/>
      <c r="BJ449" s="67"/>
      <c r="BK449" s="67"/>
      <c r="BL449" s="67"/>
      <c r="BM449" s="67"/>
      <c r="BN449" s="67"/>
      <c r="BO449" s="67"/>
      <c r="BP449" s="67"/>
      <c r="BQ449" s="67"/>
      <c r="BR449" s="67"/>
      <c r="BS449" s="67"/>
      <c r="BT449" s="67"/>
      <c r="BU449" s="67"/>
    </row>
    <row r="450" spans="15:73" x14ac:dyDescent="0.2"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  <c r="AF450" s="67"/>
      <c r="AG450" s="67"/>
      <c r="AH450" s="67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  <c r="AS450" s="67"/>
      <c r="AT450" s="67"/>
      <c r="AU450" s="67"/>
      <c r="AV450" s="67"/>
      <c r="AW450" s="67"/>
      <c r="AX450" s="67"/>
      <c r="AY450" s="67"/>
      <c r="AZ450" s="67"/>
      <c r="BA450" s="67"/>
      <c r="BB450" s="67"/>
      <c r="BC450" s="67"/>
      <c r="BD450" s="67"/>
      <c r="BE450" s="67"/>
      <c r="BF450" s="67"/>
      <c r="BG450" s="67"/>
      <c r="BH450" s="67"/>
      <c r="BI450" s="67"/>
      <c r="BJ450" s="67"/>
      <c r="BK450" s="67"/>
      <c r="BL450" s="67"/>
      <c r="BM450" s="67"/>
      <c r="BN450" s="67"/>
      <c r="BO450" s="67"/>
      <c r="BP450" s="67"/>
      <c r="BQ450" s="67"/>
      <c r="BR450" s="67"/>
      <c r="BS450" s="67"/>
      <c r="BT450" s="67"/>
      <c r="BU450" s="67"/>
    </row>
    <row r="451" spans="15:73" x14ac:dyDescent="0.2"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  <c r="AE451" s="67"/>
      <c r="AF451" s="67"/>
      <c r="AG451" s="67"/>
      <c r="AH451" s="67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  <c r="AS451" s="67"/>
      <c r="AT451" s="67"/>
      <c r="AU451" s="67"/>
      <c r="AV451" s="67"/>
      <c r="AW451" s="67"/>
      <c r="AX451" s="67"/>
      <c r="AY451" s="67"/>
      <c r="AZ451" s="67"/>
      <c r="BA451" s="67"/>
      <c r="BB451" s="67"/>
      <c r="BC451" s="67"/>
      <c r="BD451" s="67"/>
      <c r="BE451" s="67"/>
      <c r="BF451" s="67"/>
      <c r="BG451" s="67"/>
      <c r="BH451" s="67"/>
      <c r="BI451" s="67"/>
      <c r="BJ451" s="67"/>
      <c r="BK451" s="67"/>
      <c r="BL451" s="67"/>
      <c r="BM451" s="67"/>
      <c r="BN451" s="67"/>
      <c r="BO451" s="67"/>
      <c r="BP451" s="67"/>
      <c r="BQ451" s="67"/>
      <c r="BR451" s="67"/>
      <c r="BS451" s="67"/>
      <c r="BT451" s="67"/>
      <c r="BU451" s="67"/>
    </row>
    <row r="452" spans="15:73" x14ac:dyDescent="0.2"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  <c r="AE452" s="67"/>
      <c r="AF452" s="67"/>
      <c r="AG452" s="67"/>
      <c r="AH452" s="67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  <c r="AS452" s="67"/>
      <c r="AT452" s="67"/>
      <c r="AU452" s="67"/>
      <c r="AV452" s="67"/>
      <c r="AW452" s="67"/>
      <c r="AX452" s="67"/>
      <c r="AY452" s="67"/>
      <c r="AZ452" s="67"/>
      <c r="BA452" s="67"/>
      <c r="BB452" s="67"/>
      <c r="BC452" s="67"/>
      <c r="BD452" s="67"/>
      <c r="BE452" s="67"/>
      <c r="BF452" s="67"/>
      <c r="BG452" s="67"/>
      <c r="BH452" s="67"/>
      <c r="BI452" s="67"/>
      <c r="BJ452" s="67"/>
      <c r="BK452" s="67"/>
      <c r="BL452" s="67"/>
      <c r="BM452" s="67"/>
      <c r="BN452" s="67"/>
      <c r="BO452" s="67"/>
      <c r="BP452" s="67"/>
      <c r="BQ452" s="67"/>
      <c r="BR452" s="67"/>
      <c r="BS452" s="67"/>
      <c r="BT452" s="67"/>
      <c r="BU452" s="67"/>
    </row>
    <row r="453" spans="15:73" x14ac:dyDescent="0.2"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F453" s="67"/>
      <c r="AG453" s="67"/>
      <c r="AH453" s="67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  <c r="AS453" s="67"/>
      <c r="AT453" s="67"/>
      <c r="AU453" s="67"/>
      <c r="AV453" s="67"/>
      <c r="AW453" s="67"/>
      <c r="AX453" s="67"/>
      <c r="AY453" s="67"/>
      <c r="AZ453" s="67"/>
      <c r="BA453" s="67"/>
      <c r="BB453" s="67"/>
      <c r="BC453" s="67"/>
      <c r="BD453" s="67"/>
      <c r="BE453" s="67"/>
      <c r="BF453" s="67"/>
      <c r="BG453" s="67"/>
      <c r="BH453" s="67"/>
      <c r="BI453" s="67"/>
      <c r="BJ453" s="67"/>
      <c r="BK453" s="67"/>
      <c r="BL453" s="67"/>
      <c r="BM453" s="67"/>
      <c r="BN453" s="67"/>
      <c r="BO453" s="67"/>
      <c r="BP453" s="67"/>
      <c r="BQ453" s="67"/>
      <c r="BR453" s="67"/>
      <c r="BS453" s="67"/>
      <c r="BT453" s="67"/>
      <c r="BU453" s="67"/>
    </row>
    <row r="454" spans="15:73" x14ac:dyDescent="0.2"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  <c r="AF454" s="67"/>
      <c r="AG454" s="67"/>
      <c r="AH454" s="67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  <c r="AS454" s="67"/>
      <c r="AT454" s="67"/>
      <c r="AU454" s="67"/>
      <c r="AV454" s="67"/>
      <c r="AW454" s="67"/>
      <c r="AX454" s="67"/>
      <c r="AY454" s="67"/>
      <c r="AZ454" s="67"/>
      <c r="BA454" s="67"/>
      <c r="BB454" s="67"/>
      <c r="BC454" s="67"/>
      <c r="BD454" s="67"/>
      <c r="BE454" s="67"/>
      <c r="BF454" s="67"/>
      <c r="BG454" s="67"/>
      <c r="BH454" s="67"/>
      <c r="BI454" s="67"/>
      <c r="BJ454" s="67"/>
      <c r="BK454" s="67"/>
      <c r="BL454" s="67"/>
      <c r="BM454" s="67"/>
      <c r="BN454" s="67"/>
      <c r="BO454" s="67"/>
      <c r="BP454" s="67"/>
      <c r="BQ454" s="67"/>
      <c r="BR454" s="67"/>
      <c r="BS454" s="67"/>
      <c r="BT454" s="67"/>
      <c r="BU454" s="67"/>
    </row>
    <row r="455" spans="15:73" x14ac:dyDescent="0.2"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  <c r="AE455" s="67"/>
      <c r="AF455" s="67"/>
      <c r="AG455" s="67"/>
      <c r="AH455" s="67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  <c r="AS455" s="67"/>
      <c r="AT455" s="67"/>
      <c r="AU455" s="67"/>
      <c r="AV455" s="67"/>
      <c r="AW455" s="67"/>
      <c r="AX455" s="67"/>
      <c r="AY455" s="67"/>
      <c r="AZ455" s="67"/>
      <c r="BA455" s="67"/>
      <c r="BB455" s="67"/>
      <c r="BC455" s="67"/>
      <c r="BD455" s="67"/>
      <c r="BE455" s="67"/>
      <c r="BF455" s="67"/>
      <c r="BG455" s="67"/>
      <c r="BH455" s="67"/>
      <c r="BI455" s="67"/>
      <c r="BJ455" s="67"/>
      <c r="BK455" s="67"/>
      <c r="BL455" s="67"/>
      <c r="BM455" s="67"/>
      <c r="BN455" s="67"/>
      <c r="BO455" s="67"/>
      <c r="BP455" s="67"/>
      <c r="BQ455" s="67"/>
      <c r="BR455" s="67"/>
      <c r="BS455" s="67"/>
      <c r="BT455" s="67"/>
      <c r="BU455" s="67"/>
    </row>
    <row r="456" spans="15:73" x14ac:dyDescent="0.2"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  <c r="AE456" s="67"/>
      <c r="AF456" s="67"/>
      <c r="AG456" s="67"/>
      <c r="AH456" s="67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  <c r="AS456" s="67"/>
      <c r="AT456" s="67"/>
      <c r="AU456" s="67"/>
      <c r="AV456" s="67"/>
      <c r="AW456" s="67"/>
      <c r="AX456" s="67"/>
      <c r="AY456" s="67"/>
      <c r="AZ456" s="67"/>
      <c r="BA456" s="67"/>
      <c r="BB456" s="67"/>
      <c r="BC456" s="67"/>
      <c r="BD456" s="67"/>
      <c r="BE456" s="67"/>
      <c r="BF456" s="67"/>
      <c r="BG456" s="67"/>
      <c r="BH456" s="67"/>
      <c r="BI456" s="67"/>
      <c r="BJ456" s="67"/>
      <c r="BK456" s="67"/>
      <c r="BL456" s="67"/>
      <c r="BM456" s="67"/>
      <c r="BN456" s="67"/>
      <c r="BO456" s="67"/>
      <c r="BP456" s="67"/>
      <c r="BQ456" s="67"/>
      <c r="BR456" s="67"/>
      <c r="BS456" s="67"/>
      <c r="BT456" s="67"/>
      <c r="BU456" s="67"/>
    </row>
    <row r="457" spans="15:73" x14ac:dyDescent="0.2"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  <c r="AS457" s="67"/>
      <c r="AT457" s="67"/>
      <c r="AU457" s="67"/>
      <c r="AV457" s="67"/>
      <c r="AW457" s="67"/>
      <c r="AX457" s="67"/>
      <c r="AY457" s="67"/>
      <c r="AZ457" s="67"/>
      <c r="BA457" s="67"/>
      <c r="BB457" s="67"/>
      <c r="BC457" s="67"/>
      <c r="BD457" s="67"/>
      <c r="BE457" s="67"/>
      <c r="BF457" s="67"/>
      <c r="BG457" s="67"/>
      <c r="BH457" s="67"/>
      <c r="BI457" s="67"/>
      <c r="BJ457" s="67"/>
      <c r="BK457" s="67"/>
      <c r="BL457" s="67"/>
      <c r="BM457" s="67"/>
      <c r="BN457" s="67"/>
      <c r="BO457" s="67"/>
      <c r="BP457" s="67"/>
      <c r="BQ457" s="67"/>
      <c r="BR457" s="67"/>
      <c r="BS457" s="67"/>
      <c r="BT457" s="67"/>
      <c r="BU457" s="67"/>
    </row>
    <row r="458" spans="15:73" x14ac:dyDescent="0.2"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  <c r="AS458" s="67"/>
      <c r="AT458" s="67"/>
      <c r="AU458" s="67"/>
      <c r="AV458" s="67"/>
      <c r="AW458" s="67"/>
      <c r="AX458" s="67"/>
      <c r="AY458" s="67"/>
      <c r="AZ458" s="67"/>
      <c r="BA458" s="67"/>
      <c r="BB458" s="67"/>
      <c r="BC458" s="67"/>
      <c r="BD458" s="67"/>
      <c r="BE458" s="67"/>
      <c r="BF458" s="67"/>
      <c r="BG458" s="67"/>
      <c r="BH458" s="67"/>
      <c r="BI458" s="67"/>
      <c r="BJ458" s="67"/>
      <c r="BK458" s="67"/>
      <c r="BL458" s="67"/>
      <c r="BM458" s="67"/>
      <c r="BN458" s="67"/>
      <c r="BO458" s="67"/>
      <c r="BP458" s="67"/>
      <c r="BQ458" s="67"/>
      <c r="BR458" s="67"/>
      <c r="BS458" s="67"/>
      <c r="BT458" s="67"/>
      <c r="BU458" s="67"/>
    </row>
    <row r="459" spans="15:73" x14ac:dyDescent="0.2"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  <c r="AE459" s="67"/>
      <c r="AF459" s="67"/>
      <c r="AG459" s="67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  <c r="AS459" s="67"/>
      <c r="AT459" s="67"/>
      <c r="AU459" s="67"/>
      <c r="AV459" s="67"/>
      <c r="AW459" s="67"/>
      <c r="AX459" s="67"/>
      <c r="AY459" s="67"/>
      <c r="AZ459" s="67"/>
      <c r="BA459" s="67"/>
      <c r="BB459" s="67"/>
      <c r="BC459" s="67"/>
      <c r="BD459" s="67"/>
      <c r="BE459" s="67"/>
      <c r="BF459" s="67"/>
      <c r="BG459" s="67"/>
      <c r="BH459" s="67"/>
      <c r="BI459" s="67"/>
      <c r="BJ459" s="67"/>
      <c r="BK459" s="67"/>
      <c r="BL459" s="67"/>
      <c r="BM459" s="67"/>
      <c r="BN459" s="67"/>
      <c r="BO459" s="67"/>
      <c r="BP459" s="67"/>
      <c r="BQ459" s="67"/>
      <c r="BR459" s="67"/>
      <c r="BS459" s="67"/>
      <c r="BT459" s="67"/>
      <c r="BU459" s="67"/>
    </row>
    <row r="460" spans="15:73" x14ac:dyDescent="0.2"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  <c r="AF460" s="67"/>
      <c r="AG460" s="67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  <c r="AS460" s="67"/>
      <c r="AT460" s="67"/>
      <c r="AU460" s="67"/>
      <c r="AV460" s="67"/>
      <c r="AW460" s="67"/>
      <c r="AX460" s="67"/>
      <c r="AY460" s="67"/>
      <c r="AZ460" s="67"/>
      <c r="BA460" s="67"/>
      <c r="BB460" s="67"/>
      <c r="BC460" s="67"/>
      <c r="BD460" s="67"/>
      <c r="BE460" s="67"/>
      <c r="BF460" s="67"/>
      <c r="BG460" s="67"/>
      <c r="BH460" s="67"/>
      <c r="BI460" s="67"/>
      <c r="BJ460" s="67"/>
      <c r="BK460" s="67"/>
      <c r="BL460" s="67"/>
      <c r="BM460" s="67"/>
      <c r="BN460" s="67"/>
      <c r="BO460" s="67"/>
      <c r="BP460" s="67"/>
      <c r="BQ460" s="67"/>
      <c r="BR460" s="67"/>
      <c r="BS460" s="67"/>
      <c r="BT460" s="67"/>
      <c r="BU460" s="67"/>
    </row>
    <row r="461" spans="15:73" x14ac:dyDescent="0.2"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  <c r="AF461" s="67"/>
      <c r="AG461" s="67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  <c r="AS461" s="67"/>
      <c r="AT461" s="67"/>
      <c r="AU461" s="67"/>
      <c r="AV461" s="67"/>
      <c r="AW461" s="67"/>
      <c r="AX461" s="67"/>
      <c r="AY461" s="67"/>
      <c r="AZ461" s="67"/>
      <c r="BA461" s="67"/>
      <c r="BB461" s="67"/>
      <c r="BC461" s="67"/>
      <c r="BD461" s="67"/>
      <c r="BE461" s="67"/>
      <c r="BF461" s="67"/>
      <c r="BG461" s="67"/>
      <c r="BH461" s="67"/>
      <c r="BI461" s="67"/>
      <c r="BJ461" s="67"/>
      <c r="BK461" s="67"/>
      <c r="BL461" s="67"/>
      <c r="BM461" s="67"/>
      <c r="BN461" s="67"/>
      <c r="BO461" s="67"/>
      <c r="BP461" s="67"/>
      <c r="BQ461" s="67"/>
      <c r="BR461" s="67"/>
      <c r="BS461" s="67"/>
      <c r="BT461" s="67"/>
      <c r="BU461" s="67"/>
    </row>
    <row r="462" spans="15:73" x14ac:dyDescent="0.2"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  <c r="AF462" s="67"/>
      <c r="AG462" s="67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  <c r="AS462" s="67"/>
      <c r="AT462" s="67"/>
      <c r="AU462" s="67"/>
      <c r="AV462" s="67"/>
      <c r="AW462" s="67"/>
      <c r="AX462" s="67"/>
      <c r="AY462" s="67"/>
      <c r="AZ462" s="67"/>
      <c r="BA462" s="67"/>
      <c r="BB462" s="67"/>
      <c r="BC462" s="67"/>
      <c r="BD462" s="67"/>
      <c r="BE462" s="67"/>
      <c r="BF462" s="67"/>
      <c r="BG462" s="67"/>
      <c r="BH462" s="67"/>
      <c r="BI462" s="67"/>
      <c r="BJ462" s="67"/>
      <c r="BK462" s="67"/>
      <c r="BL462" s="67"/>
      <c r="BM462" s="67"/>
      <c r="BN462" s="67"/>
      <c r="BO462" s="67"/>
      <c r="BP462" s="67"/>
      <c r="BQ462" s="67"/>
      <c r="BR462" s="67"/>
      <c r="BS462" s="67"/>
      <c r="BT462" s="67"/>
      <c r="BU462" s="67"/>
    </row>
    <row r="463" spans="15:73" x14ac:dyDescent="0.2"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  <c r="AE463" s="67"/>
      <c r="AF463" s="67"/>
      <c r="AG463" s="67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  <c r="AS463" s="67"/>
      <c r="AT463" s="67"/>
      <c r="AU463" s="67"/>
      <c r="AV463" s="67"/>
      <c r="AW463" s="67"/>
      <c r="AX463" s="67"/>
      <c r="AY463" s="67"/>
      <c r="AZ463" s="67"/>
      <c r="BA463" s="67"/>
      <c r="BB463" s="67"/>
      <c r="BC463" s="67"/>
      <c r="BD463" s="67"/>
      <c r="BE463" s="67"/>
      <c r="BF463" s="67"/>
      <c r="BG463" s="67"/>
      <c r="BH463" s="67"/>
      <c r="BI463" s="67"/>
      <c r="BJ463" s="67"/>
      <c r="BK463" s="67"/>
      <c r="BL463" s="67"/>
      <c r="BM463" s="67"/>
      <c r="BN463" s="67"/>
      <c r="BO463" s="67"/>
      <c r="BP463" s="67"/>
      <c r="BQ463" s="67"/>
      <c r="BR463" s="67"/>
      <c r="BS463" s="67"/>
      <c r="BT463" s="67"/>
      <c r="BU463" s="67"/>
    </row>
    <row r="464" spans="15:73" x14ac:dyDescent="0.2"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  <c r="AE464" s="67"/>
      <c r="AF464" s="67"/>
      <c r="AG464" s="67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  <c r="AS464" s="67"/>
      <c r="AT464" s="67"/>
      <c r="AU464" s="67"/>
      <c r="AV464" s="67"/>
      <c r="AW464" s="67"/>
      <c r="AX464" s="67"/>
      <c r="AY464" s="67"/>
      <c r="AZ464" s="67"/>
      <c r="BA464" s="67"/>
      <c r="BB464" s="67"/>
      <c r="BC464" s="67"/>
      <c r="BD464" s="67"/>
      <c r="BE464" s="67"/>
      <c r="BF464" s="67"/>
      <c r="BG464" s="67"/>
      <c r="BH464" s="67"/>
      <c r="BI464" s="67"/>
      <c r="BJ464" s="67"/>
      <c r="BK464" s="67"/>
      <c r="BL464" s="67"/>
      <c r="BM464" s="67"/>
      <c r="BN464" s="67"/>
      <c r="BO464" s="67"/>
      <c r="BP464" s="67"/>
      <c r="BQ464" s="67"/>
      <c r="BR464" s="67"/>
      <c r="BS464" s="67"/>
      <c r="BT464" s="67"/>
      <c r="BU464" s="67"/>
    </row>
    <row r="465" spans="15:73" x14ac:dyDescent="0.2"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  <c r="AE465" s="67"/>
      <c r="AF465" s="67"/>
      <c r="AG465" s="67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  <c r="AS465" s="67"/>
      <c r="AT465" s="67"/>
      <c r="AU465" s="67"/>
      <c r="AV465" s="67"/>
      <c r="AW465" s="67"/>
      <c r="AX465" s="67"/>
      <c r="AY465" s="67"/>
      <c r="AZ465" s="67"/>
      <c r="BA465" s="67"/>
      <c r="BB465" s="67"/>
      <c r="BC465" s="67"/>
      <c r="BD465" s="67"/>
      <c r="BE465" s="67"/>
      <c r="BF465" s="67"/>
      <c r="BG465" s="67"/>
      <c r="BH465" s="67"/>
      <c r="BI465" s="67"/>
      <c r="BJ465" s="67"/>
      <c r="BK465" s="67"/>
      <c r="BL465" s="67"/>
      <c r="BM465" s="67"/>
      <c r="BN465" s="67"/>
      <c r="BO465" s="67"/>
      <c r="BP465" s="67"/>
      <c r="BQ465" s="67"/>
      <c r="BR465" s="67"/>
      <c r="BS465" s="67"/>
      <c r="BT465" s="67"/>
      <c r="BU465" s="67"/>
    </row>
    <row r="466" spans="15:73" x14ac:dyDescent="0.2"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  <c r="AS466" s="67"/>
      <c r="AT466" s="67"/>
      <c r="AU466" s="67"/>
      <c r="AV466" s="67"/>
      <c r="AW466" s="67"/>
      <c r="AX466" s="67"/>
      <c r="AY466" s="67"/>
      <c r="AZ466" s="67"/>
      <c r="BA466" s="67"/>
      <c r="BB466" s="67"/>
      <c r="BC466" s="67"/>
      <c r="BD466" s="67"/>
      <c r="BE466" s="67"/>
      <c r="BF466" s="67"/>
      <c r="BG466" s="67"/>
      <c r="BH466" s="67"/>
      <c r="BI466" s="67"/>
      <c r="BJ466" s="67"/>
      <c r="BK466" s="67"/>
      <c r="BL466" s="67"/>
      <c r="BM466" s="67"/>
      <c r="BN466" s="67"/>
      <c r="BO466" s="67"/>
      <c r="BP466" s="67"/>
      <c r="BQ466" s="67"/>
      <c r="BR466" s="67"/>
      <c r="BS466" s="67"/>
      <c r="BT466" s="67"/>
      <c r="BU466" s="67"/>
    </row>
    <row r="467" spans="15:73" x14ac:dyDescent="0.2"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  <c r="AE467" s="67"/>
      <c r="AF467" s="67"/>
      <c r="AG467" s="67"/>
      <c r="AH467" s="67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  <c r="AS467" s="67"/>
      <c r="AT467" s="67"/>
      <c r="AU467" s="67"/>
      <c r="AV467" s="67"/>
      <c r="AW467" s="67"/>
      <c r="AX467" s="67"/>
      <c r="AY467" s="67"/>
      <c r="AZ467" s="67"/>
      <c r="BA467" s="67"/>
      <c r="BB467" s="67"/>
      <c r="BC467" s="67"/>
      <c r="BD467" s="67"/>
      <c r="BE467" s="67"/>
      <c r="BF467" s="67"/>
      <c r="BG467" s="67"/>
      <c r="BH467" s="67"/>
      <c r="BI467" s="67"/>
      <c r="BJ467" s="67"/>
      <c r="BK467" s="67"/>
      <c r="BL467" s="67"/>
      <c r="BM467" s="67"/>
      <c r="BN467" s="67"/>
      <c r="BO467" s="67"/>
      <c r="BP467" s="67"/>
      <c r="BQ467" s="67"/>
      <c r="BR467" s="67"/>
      <c r="BS467" s="67"/>
      <c r="BT467" s="67"/>
      <c r="BU467" s="67"/>
    </row>
    <row r="468" spans="15:73" x14ac:dyDescent="0.2"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  <c r="AE468" s="67"/>
      <c r="AF468" s="67"/>
      <c r="AG468" s="67"/>
      <c r="AH468" s="67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  <c r="AS468" s="67"/>
      <c r="AT468" s="67"/>
      <c r="AU468" s="67"/>
      <c r="AV468" s="67"/>
      <c r="AW468" s="67"/>
      <c r="AX468" s="67"/>
      <c r="AY468" s="67"/>
      <c r="AZ468" s="67"/>
      <c r="BA468" s="67"/>
      <c r="BB468" s="67"/>
      <c r="BC468" s="67"/>
      <c r="BD468" s="67"/>
      <c r="BE468" s="67"/>
      <c r="BF468" s="67"/>
      <c r="BG468" s="67"/>
      <c r="BH468" s="67"/>
      <c r="BI468" s="67"/>
      <c r="BJ468" s="67"/>
      <c r="BK468" s="67"/>
      <c r="BL468" s="67"/>
      <c r="BM468" s="67"/>
      <c r="BN468" s="67"/>
      <c r="BO468" s="67"/>
      <c r="BP468" s="67"/>
      <c r="BQ468" s="67"/>
      <c r="BR468" s="67"/>
      <c r="BS468" s="67"/>
      <c r="BT468" s="67"/>
      <c r="BU468" s="67"/>
    </row>
    <row r="469" spans="15:73" x14ac:dyDescent="0.2"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  <c r="AE469" s="67"/>
      <c r="AF469" s="67"/>
      <c r="AG469" s="67"/>
      <c r="AH469" s="67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  <c r="AS469" s="67"/>
      <c r="AT469" s="67"/>
      <c r="AU469" s="67"/>
      <c r="AV469" s="67"/>
      <c r="AW469" s="67"/>
      <c r="AX469" s="67"/>
      <c r="AY469" s="67"/>
      <c r="AZ469" s="67"/>
      <c r="BA469" s="67"/>
      <c r="BB469" s="67"/>
      <c r="BC469" s="67"/>
      <c r="BD469" s="67"/>
      <c r="BE469" s="67"/>
      <c r="BF469" s="67"/>
      <c r="BG469" s="67"/>
      <c r="BH469" s="67"/>
      <c r="BI469" s="67"/>
      <c r="BJ469" s="67"/>
      <c r="BK469" s="67"/>
      <c r="BL469" s="67"/>
      <c r="BM469" s="67"/>
      <c r="BN469" s="67"/>
      <c r="BO469" s="67"/>
      <c r="BP469" s="67"/>
      <c r="BQ469" s="67"/>
      <c r="BR469" s="67"/>
      <c r="BS469" s="67"/>
      <c r="BT469" s="67"/>
      <c r="BU469" s="67"/>
    </row>
    <row r="470" spans="15:73" x14ac:dyDescent="0.2"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  <c r="AF470" s="67"/>
      <c r="AG470" s="67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  <c r="AS470" s="67"/>
      <c r="AT470" s="67"/>
      <c r="AU470" s="67"/>
      <c r="AV470" s="67"/>
      <c r="AW470" s="67"/>
      <c r="AX470" s="67"/>
      <c r="AY470" s="67"/>
      <c r="AZ470" s="67"/>
      <c r="BA470" s="67"/>
      <c r="BB470" s="67"/>
      <c r="BC470" s="67"/>
      <c r="BD470" s="67"/>
      <c r="BE470" s="67"/>
      <c r="BF470" s="67"/>
      <c r="BG470" s="67"/>
      <c r="BH470" s="67"/>
      <c r="BI470" s="67"/>
      <c r="BJ470" s="67"/>
      <c r="BK470" s="67"/>
      <c r="BL470" s="67"/>
      <c r="BM470" s="67"/>
      <c r="BN470" s="67"/>
      <c r="BO470" s="67"/>
      <c r="BP470" s="67"/>
      <c r="BQ470" s="67"/>
      <c r="BR470" s="67"/>
      <c r="BS470" s="67"/>
      <c r="BT470" s="67"/>
      <c r="BU470" s="67"/>
    </row>
    <row r="471" spans="15:73" x14ac:dyDescent="0.2"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  <c r="AS471" s="67"/>
      <c r="AT471" s="67"/>
      <c r="AU471" s="67"/>
      <c r="AV471" s="67"/>
      <c r="AW471" s="67"/>
      <c r="AX471" s="67"/>
      <c r="AY471" s="67"/>
      <c r="AZ471" s="67"/>
      <c r="BA471" s="67"/>
      <c r="BB471" s="67"/>
      <c r="BC471" s="67"/>
      <c r="BD471" s="67"/>
      <c r="BE471" s="67"/>
      <c r="BF471" s="67"/>
      <c r="BG471" s="67"/>
      <c r="BH471" s="67"/>
      <c r="BI471" s="67"/>
      <c r="BJ471" s="67"/>
      <c r="BK471" s="67"/>
      <c r="BL471" s="67"/>
      <c r="BM471" s="67"/>
      <c r="BN471" s="67"/>
      <c r="BO471" s="67"/>
      <c r="BP471" s="67"/>
      <c r="BQ471" s="67"/>
      <c r="BR471" s="67"/>
      <c r="BS471" s="67"/>
      <c r="BT471" s="67"/>
      <c r="BU471" s="67"/>
    </row>
    <row r="472" spans="15:73" x14ac:dyDescent="0.2"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  <c r="AE472" s="67"/>
      <c r="AF472" s="67"/>
      <c r="AG472" s="67"/>
      <c r="AH472" s="67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  <c r="AS472" s="67"/>
      <c r="AT472" s="67"/>
      <c r="AU472" s="67"/>
      <c r="AV472" s="67"/>
      <c r="AW472" s="67"/>
      <c r="AX472" s="67"/>
      <c r="AY472" s="67"/>
      <c r="AZ472" s="67"/>
      <c r="BA472" s="67"/>
      <c r="BB472" s="67"/>
      <c r="BC472" s="67"/>
      <c r="BD472" s="67"/>
      <c r="BE472" s="67"/>
      <c r="BF472" s="67"/>
      <c r="BG472" s="67"/>
      <c r="BH472" s="67"/>
      <c r="BI472" s="67"/>
      <c r="BJ472" s="67"/>
      <c r="BK472" s="67"/>
      <c r="BL472" s="67"/>
      <c r="BM472" s="67"/>
      <c r="BN472" s="67"/>
      <c r="BO472" s="67"/>
      <c r="BP472" s="67"/>
      <c r="BQ472" s="67"/>
      <c r="BR472" s="67"/>
      <c r="BS472" s="67"/>
      <c r="BT472" s="67"/>
      <c r="BU472" s="67"/>
    </row>
    <row r="473" spans="15:73" x14ac:dyDescent="0.2"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  <c r="AE473" s="67"/>
      <c r="AF473" s="67"/>
      <c r="AG473" s="67"/>
      <c r="AH473" s="67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  <c r="AS473" s="67"/>
      <c r="AT473" s="67"/>
      <c r="AU473" s="67"/>
      <c r="AV473" s="67"/>
      <c r="AW473" s="67"/>
      <c r="AX473" s="67"/>
      <c r="AY473" s="67"/>
      <c r="AZ473" s="67"/>
      <c r="BA473" s="67"/>
      <c r="BB473" s="67"/>
      <c r="BC473" s="67"/>
      <c r="BD473" s="67"/>
      <c r="BE473" s="67"/>
      <c r="BF473" s="67"/>
      <c r="BG473" s="67"/>
      <c r="BH473" s="67"/>
      <c r="BI473" s="67"/>
      <c r="BJ473" s="67"/>
      <c r="BK473" s="67"/>
      <c r="BL473" s="67"/>
      <c r="BM473" s="67"/>
      <c r="BN473" s="67"/>
      <c r="BO473" s="67"/>
      <c r="BP473" s="67"/>
      <c r="BQ473" s="67"/>
      <c r="BR473" s="67"/>
      <c r="BS473" s="67"/>
      <c r="BT473" s="67"/>
      <c r="BU473" s="67"/>
    </row>
    <row r="474" spans="15:73" x14ac:dyDescent="0.2"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  <c r="AE474" s="67"/>
      <c r="AF474" s="67"/>
      <c r="AG474" s="67"/>
      <c r="AH474" s="67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  <c r="AS474" s="67"/>
      <c r="AT474" s="67"/>
      <c r="AU474" s="67"/>
      <c r="AV474" s="67"/>
      <c r="AW474" s="67"/>
      <c r="AX474" s="67"/>
      <c r="AY474" s="67"/>
      <c r="AZ474" s="67"/>
      <c r="BA474" s="67"/>
      <c r="BB474" s="67"/>
      <c r="BC474" s="67"/>
      <c r="BD474" s="67"/>
      <c r="BE474" s="67"/>
      <c r="BF474" s="67"/>
      <c r="BG474" s="67"/>
      <c r="BH474" s="67"/>
      <c r="BI474" s="67"/>
      <c r="BJ474" s="67"/>
      <c r="BK474" s="67"/>
      <c r="BL474" s="67"/>
      <c r="BM474" s="67"/>
      <c r="BN474" s="67"/>
      <c r="BO474" s="67"/>
      <c r="BP474" s="67"/>
      <c r="BQ474" s="67"/>
      <c r="BR474" s="67"/>
      <c r="BS474" s="67"/>
      <c r="BT474" s="67"/>
      <c r="BU474" s="67"/>
    </row>
    <row r="475" spans="15:73" x14ac:dyDescent="0.2"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  <c r="AE475" s="67"/>
      <c r="AF475" s="67"/>
      <c r="AG475" s="67"/>
      <c r="AH475" s="67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  <c r="AS475" s="67"/>
      <c r="AT475" s="67"/>
      <c r="AU475" s="67"/>
      <c r="AV475" s="67"/>
      <c r="AW475" s="67"/>
      <c r="AX475" s="67"/>
      <c r="AY475" s="67"/>
      <c r="AZ475" s="67"/>
      <c r="BA475" s="67"/>
      <c r="BB475" s="67"/>
      <c r="BC475" s="67"/>
      <c r="BD475" s="67"/>
      <c r="BE475" s="67"/>
      <c r="BF475" s="67"/>
      <c r="BG475" s="67"/>
      <c r="BH475" s="67"/>
      <c r="BI475" s="67"/>
      <c r="BJ475" s="67"/>
      <c r="BK475" s="67"/>
      <c r="BL475" s="67"/>
      <c r="BM475" s="67"/>
      <c r="BN475" s="67"/>
      <c r="BO475" s="67"/>
      <c r="BP475" s="67"/>
      <c r="BQ475" s="67"/>
      <c r="BR475" s="67"/>
      <c r="BS475" s="67"/>
      <c r="BT475" s="67"/>
      <c r="BU475" s="67"/>
    </row>
    <row r="476" spans="15:73" x14ac:dyDescent="0.2"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  <c r="AE476" s="67"/>
      <c r="AF476" s="67"/>
      <c r="AG476" s="67"/>
      <c r="AH476" s="67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  <c r="AS476" s="67"/>
      <c r="AT476" s="67"/>
      <c r="AU476" s="67"/>
      <c r="AV476" s="67"/>
      <c r="AW476" s="67"/>
      <c r="AX476" s="67"/>
      <c r="AY476" s="67"/>
      <c r="AZ476" s="67"/>
      <c r="BA476" s="67"/>
      <c r="BB476" s="67"/>
      <c r="BC476" s="67"/>
      <c r="BD476" s="67"/>
      <c r="BE476" s="67"/>
      <c r="BF476" s="67"/>
      <c r="BG476" s="67"/>
      <c r="BH476" s="67"/>
      <c r="BI476" s="67"/>
      <c r="BJ476" s="67"/>
      <c r="BK476" s="67"/>
      <c r="BL476" s="67"/>
      <c r="BM476" s="67"/>
      <c r="BN476" s="67"/>
      <c r="BO476" s="67"/>
      <c r="BP476" s="67"/>
      <c r="BQ476" s="67"/>
      <c r="BR476" s="67"/>
      <c r="BS476" s="67"/>
      <c r="BT476" s="67"/>
      <c r="BU476" s="67"/>
    </row>
    <row r="477" spans="15:73" x14ac:dyDescent="0.2"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  <c r="AF477" s="67"/>
      <c r="AG477" s="67"/>
      <c r="AH477" s="67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  <c r="AS477" s="67"/>
      <c r="AT477" s="67"/>
      <c r="AU477" s="67"/>
      <c r="AV477" s="67"/>
      <c r="AW477" s="67"/>
      <c r="AX477" s="67"/>
      <c r="AY477" s="67"/>
      <c r="AZ477" s="67"/>
      <c r="BA477" s="67"/>
      <c r="BB477" s="67"/>
      <c r="BC477" s="67"/>
      <c r="BD477" s="67"/>
      <c r="BE477" s="67"/>
      <c r="BF477" s="67"/>
      <c r="BG477" s="67"/>
      <c r="BH477" s="67"/>
      <c r="BI477" s="67"/>
      <c r="BJ477" s="67"/>
      <c r="BK477" s="67"/>
      <c r="BL477" s="67"/>
      <c r="BM477" s="67"/>
      <c r="BN477" s="67"/>
      <c r="BO477" s="67"/>
      <c r="BP477" s="67"/>
      <c r="BQ477" s="67"/>
      <c r="BR477" s="67"/>
      <c r="BS477" s="67"/>
      <c r="BT477" s="67"/>
      <c r="BU477" s="67"/>
    </row>
    <row r="478" spans="15:73" x14ac:dyDescent="0.2"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  <c r="AE478" s="67"/>
      <c r="AF478" s="67"/>
      <c r="AG478" s="67"/>
      <c r="AH478" s="67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  <c r="AS478" s="67"/>
      <c r="AT478" s="67"/>
      <c r="AU478" s="67"/>
      <c r="AV478" s="67"/>
      <c r="AW478" s="67"/>
      <c r="AX478" s="67"/>
      <c r="AY478" s="67"/>
      <c r="AZ478" s="67"/>
      <c r="BA478" s="67"/>
      <c r="BB478" s="67"/>
      <c r="BC478" s="67"/>
      <c r="BD478" s="67"/>
      <c r="BE478" s="67"/>
      <c r="BF478" s="67"/>
      <c r="BG478" s="67"/>
      <c r="BH478" s="67"/>
      <c r="BI478" s="67"/>
      <c r="BJ478" s="67"/>
      <c r="BK478" s="67"/>
      <c r="BL478" s="67"/>
      <c r="BM478" s="67"/>
      <c r="BN478" s="67"/>
      <c r="BO478" s="67"/>
      <c r="BP478" s="67"/>
      <c r="BQ478" s="67"/>
      <c r="BR478" s="67"/>
      <c r="BS478" s="67"/>
      <c r="BT478" s="67"/>
      <c r="BU478" s="67"/>
    </row>
    <row r="479" spans="15:73" x14ac:dyDescent="0.2"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  <c r="AE479" s="67"/>
      <c r="AF479" s="67"/>
      <c r="AG479" s="67"/>
      <c r="AH479" s="67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  <c r="AS479" s="67"/>
      <c r="AT479" s="67"/>
      <c r="AU479" s="67"/>
      <c r="AV479" s="67"/>
      <c r="AW479" s="67"/>
      <c r="AX479" s="67"/>
      <c r="AY479" s="67"/>
      <c r="AZ479" s="67"/>
      <c r="BA479" s="67"/>
      <c r="BB479" s="67"/>
      <c r="BC479" s="67"/>
      <c r="BD479" s="67"/>
      <c r="BE479" s="67"/>
      <c r="BF479" s="67"/>
      <c r="BG479" s="67"/>
      <c r="BH479" s="67"/>
      <c r="BI479" s="67"/>
      <c r="BJ479" s="67"/>
      <c r="BK479" s="67"/>
      <c r="BL479" s="67"/>
      <c r="BM479" s="67"/>
      <c r="BN479" s="67"/>
      <c r="BO479" s="67"/>
      <c r="BP479" s="67"/>
      <c r="BQ479" s="67"/>
      <c r="BR479" s="67"/>
      <c r="BS479" s="67"/>
      <c r="BT479" s="67"/>
      <c r="BU479" s="67"/>
    </row>
    <row r="480" spans="15:73" x14ac:dyDescent="0.2"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  <c r="AF480" s="67"/>
      <c r="AG480" s="67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  <c r="AS480" s="67"/>
      <c r="AT480" s="67"/>
      <c r="AU480" s="67"/>
      <c r="AV480" s="67"/>
      <c r="AW480" s="67"/>
      <c r="AX480" s="67"/>
      <c r="AY480" s="67"/>
      <c r="AZ480" s="67"/>
      <c r="BA480" s="67"/>
      <c r="BB480" s="67"/>
      <c r="BC480" s="67"/>
      <c r="BD480" s="67"/>
      <c r="BE480" s="67"/>
      <c r="BF480" s="67"/>
      <c r="BG480" s="67"/>
      <c r="BH480" s="67"/>
      <c r="BI480" s="67"/>
      <c r="BJ480" s="67"/>
      <c r="BK480" s="67"/>
      <c r="BL480" s="67"/>
      <c r="BM480" s="67"/>
      <c r="BN480" s="67"/>
      <c r="BO480" s="67"/>
      <c r="BP480" s="67"/>
      <c r="BQ480" s="67"/>
      <c r="BR480" s="67"/>
      <c r="BS480" s="67"/>
      <c r="BT480" s="67"/>
      <c r="BU480" s="67"/>
    </row>
    <row r="481" spans="15:73" x14ac:dyDescent="0.2"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  <c r="AE481" s="67"/>
      <c r="AF481" s="67"/>
      <c r="AG481" s="67"/>
      <c r="AH481" s="67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  <c r="AS481" s="67"/>
      <c r="AT481" s="67"/>
      <c r="AU481" s="67"/>
      <c r="AV481" s="67"/>
      <c r="AW481" s="67"/>
      <c r="AX481" s="67"/>
      <c r="AY481" s="67"/>
      <c r="AZ481" s="67"/>
      <c r="BA481" s="67"/>
      <c r="BB481" s="67"/>
      <c r="BC481" s="67"/>
      <c r="BD481" s="67"/>
      <c r="BE481" s="67"/>
      <c r="BF481" s="67"/>
      <c r="BG481" s="67"/>
      <c r="BH481" s="67"/>
      <c r="BI481" s="67"/>
      <c r="BJ481" s="67"/>
      <c r="BK481" s="67"/>
      <c r="BL481" s="67"/>
      <c r="BM481" s="67"/>
      <c r="BN481" s="67"/>
      <c r="BO481" s="67"/>
      <c r="BP481" s="67"/>
      <c r="BQ481" s="67"/>
      <c r="BR481" s="67"/>
      <c r="BS481" s="67"/>
      <c r="BT481" s="67"/>
      <c r="BU481" s="67"/>
    </row>
    <row r="482" spans="15:73" x14ac:dyDescent="0.2"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  <c r="AE482" s="67"/>
      <c r="AF482" s="67"/>
      <c r="AG482" s="67"/>
      <c r="AH482" s="67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  <c r="AS482" s="67"/>
      <c r="AT482" s="67"/>
      <c r="AU482" s="67"/>
      <c r="AV482" s="67"/>
      <c r="AW482" s="67"/>
      <c r="AX482" s="67"/>
      <c r="AY482" s="67"/>
      <c r="AZ482" s="67"/>
      <c r="BA482" s="67"/>
      <c r="BB482" s="67"/>
      <c r="BC482" s="67"/>
      <c r="BD482" s="67"/>
      <c r="BE482" s="67"/>
      <c r="BF482" s="67"/>
      <c r="BG482" s="67"/>
      <c r="BH482" s="67"/>
      <c r="BI482" s="67"/>
      <c r="BJ482" s="67"/>
      <c r="BK482" s="67"/>
      <c r="BL482" s="67"/>
      <c r="BM482" s="67"/>
      <c r="BN482" s="67"/>
      <c r="BO482" s="67"/>
      <c r="BP482" s="67"/>
      <c r="BQ482" s="67"/>
      <c r="BR482" s="67"/>
      <c r="BS482" s="67"/>
      <c r="BT482" s="67"/>
      <c r="BU482" s="67"/>
    </row>
    <row r="483" spans="15:73" x14ac:dyDescent="0.2"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  <c r="AE483" s="67"/>
      <c r="AF483" s="67"/>
      <c r="AG483" s="67"/>
      <c r="AH483" s="67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  <c r="AS483" s="67"/>
      <c r="AT483" s="67"/>
      <c r="AU483" s="67"/>
      <c r="AV483" s="67"/>
      <c r="AW483" s="67"/>
      <c r="AX483" s="67"/>
      <c r="AY483" s="67"/>
      <c r="AZ483" s="67"/>
      <c r="BA483" s="67"/>
      <c r="BB483" s="67"/>
      <c r="BC483" s="67"/>
      <c r="BD483" s="67"/>
      <c r="BE483" s="67"/>
      <c r="BF483" s="67"/>
      <c r="BG483" s="67"/>
      <c r="BH483" s="67"/>
      <c r="BI483" s="67"/>
      <c r="BJ483" s="67"/>
      <c r="BK483" s="67"/>
      <c r="BL483" s="67"/>
      <c r="BM483" s="67"/>
      <c r="BN483" s="67"/>
      <c r="BO483" s="67"/>
      <c r="BP483" s="67"/>
      <c r="BQ483" s="67"/>
      <c r="BR483" s="67"/>
      <c r="BS483" s="67"/>
      <c r="BT483" s="67"/>
      <c r="BU483" s="67"/>
    </row>
    <row r="484" spans="15:73" x14ac:dyDescent="0.2"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  <c r="AE484" s="67"/>
      <c r="AF484" s="67"/>
      <c r="AG484" s="67"/>
      <c r="AH484" s="67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  <c r="AS484" s="67"/>
      <c r="AT484" s="67"/>
      <c r="AU484" s="67"/>
      <c r="AV484" s="67"/>
      <c r="AW484" s="67"/>
      <c r="AX484" s="67"/>
      <c r="AY484" s="67"/>
      <c r="AZ484" s="67"/>
      <c r="BA484" s="67"/>
      <c r="BB484" s="67"/>
      <c r="BC484" s="67"/>
      <c r="BD484" s="67"/>
      <c r="BE484" s="67"/>
      <c r="BF484" s="67"/>
      <c r="BG484" s="67"/>
      <c r="BH484" s="67"/>
      <c r="BI484" s="67"/>
      <c r="BJ484" s="67"/>
      <c r="BK484" s="67"/>
      <c r="BL484" s="67"/>
      <c r="BM484" s="67"/>
      <c r="BN484" s="67"/>
      <c r="BO484" s="67"/>
      <c r="BP484" s="67"/>
      <c r="BQ484" s="67"/>
      <c r="BR484" s="67"/>
      <c r="BS484" s="67"/>
      <c r="BT484" s="67"/>
      <c r="BU484" s="67"/>
    </row>
    <row r="485" spans="15:73" x14ac:dyDescent="0.2"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  <c r="AE485" s="67"/>
      <c r="AF485" s="67"/>
      <c r="AG485" s="67"/>
      <c r="AH485" s="67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  <c r="AS485" s="67"/>
      <c r="AT485" s="67"/>
      <c r="AU485" s="67"/>
      <c r="AV485" s="67"/>
      <c r="AW485" s="67"/>
      <c r="AX485" s="67"/>
      <c r="AY485" s="67"/>
      <c r="AZ485" s="67"/>
      <c r="BA485" s="67"/>
      <c r="BB485" s="67"/>
      <c r="BC485" s="67"/>
      <c r="BD485" s="67"/>
      <c r="BE485" s="67"/>
      <c r="BF485" s="67"/>
      <c r="BG485" s="67"/>
      <c r="BH485" s="67"/>
      <c r="BI485" s="67"/>
      <c r="BJ485" s="67"/>
      <c r="BK485" s="67"/>
      <c r="BL485" s="67"/>
      <c r="BM485" s="67"/>
      <c r="BN485" s="67"/>
      <c r="BO485" s="67"/>
      <c r="BP485" s="67"/>
      <c r="BQ485" s="67"/>
      <c r="BR485" s="67"/>
      <c r="BS485" s="67"/>
      <c r="BT485" s="67"/>
      <c r="BU485" s="67"/>
    </row>
    <row r="486" spans="15:73" x14ac:dyDescent="0.2"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  <c r="AE486" s="67"/>
      <c r="AF486" s="67"/>
      <c r="AG486" s="67"/>
      <c r="AH486" s="67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  <c r="AS486" s="67"/>
      <c r="AT486" s="67"/>
      <c r="AU486" s="67"/>
      <c r="AV486" s="67"/>
      <c r="AW486" s="67"/>
      <c r="AX486" s="67"/>
      <c r="AY486" s="67"/>
      <c r="AZ486" s="67"/>
      <c r="BA486" s="67"/>
      <c r="BB486" s="67"/>
      <c r="BC486" s="67"/>
      <c r="BD486" s="67"/>
      <c r="BE486" s="67"/>
      <c r="BF486" s="67"/>
      <c r="BG486" s="67"/>
      <c r="BH486" s="67"/>
      <c r="BI486" s="67"/>
      <c r="BJ486" s="67"/>
      <c r="BK486" s="67"/>
      <c r="BL486" s="67"/>
      <c r="BM486" s="67"/>
      <c r="BN486" s="67"/>
      <c r="BO486" s="67"/>
      <c r="BP486" s="67"/>
      <c r="BQ486" s="67"/>
      <c r="BR486" s="67"/>
      <c r="BS486" s="67"/>
      <c r="BT486" s="67"/>
      <c r="BU486" s="67"/>
    </row>
    <row r="487" spans="15:73" x14ac:dyDescent="0.2"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  <c r="AE487" s="67"/>
      <c r="AF487" s="67"/>
      <c r="AG487" s="67"/>
      <c r="AH487" s="67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  <c r="AS487" s="67"/>
      <c r="AT487" s="67"/>
      <c r="AU487" s="67"/>
      <c r="AV487" s="67"/>
      <c r="AW487" s="67"/>
      <c r="AX487" s="67"/>
      <c r="AY487" s="67"/>
      <c r="AZ487" s="67"/>
      <c r="BA487" s="67"/>
      <c r="BB487" s="67"/>
      <c r="BC487" s="67"/>
      <c r="BD487" s="67"/>
      <c r="BE487" s="67"/>
      <c r="BF487" s="67"/>
      <c r="BG487" s="67"/>
      <c r="BH487" s="67"/>
      <c r="BI487" s="67"/>
      <c r="BJ487" s="67"/>
      <c r="BK487" s="67"/>
      <c r="BL487" s="67"/>
      <c r="BM487" s="67"/>
      <c r="BN487" s="67"/>
      <c r="BO487" s="67"/>
      <c r="BP487" s="67"/>
      <c r="BQ487" s="67"/>
      <c r="BR487" s="67"/>
      <c r="BS487" s="67"/>
      <c r="BT487" s="67"/>
      <c r="BU487" s="67"/>
    </row>
    <row r="488" spans="15:73" x14ac:dyDescent="0.2"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  <c r="AE488" s="67"/>
      <c r="AF488" s="67"/>
      <c r="AG488" s="67"/>
      <c r="AH488" s="67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  <c r="AS488" s="67"/>
      <c r="AT488" s="67"/>
      <c r="AU488" s="67"/>
      <c r="AV488" s="67"/>
      <c r="AW488" s="67"/>
      <c r="AX488" s="67"/>
      <c r="AY488" s="67"/>
      <c r="AZ488" s="67"/>
      <c r="BA488" s="67"/>
      <c r="BB488" s="67"/>
      <c r="BC488" s="67"/>
      <c r="BD488" s="67"/>
      <c r="BE488" s="67"/>
      <c r="BF488" s="67"/>
      <c r="BG488" s="67"/>
      <c r="BH488" s="67"/>
      <c r="BI488" s="67"/>
      <c r="BJ488" s="67"/>
      <c r="BK488" s="67"/>
      <c r="BL488" s="67"/>
      <c r="BM488" s="67"/>
      <c r="BN488" s="67"/>
      <c r="BO488" s="67"/>
      <c r="BP488" s="67"/>
      <c r="BQ488" s="67"/>
      <c r="BR488" s="67"/>
      <c r="BS488" s="67"/>
      <c r="BT488" s="67"/>
      <c r="BU488" s="67"/>
    </row>
    <row r="489" spans="15:73" x14ac:dyDescent="0.2"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  <c r="AE489" s="67"/>
      <c r="AF489" s="67"/>
      <c r="AG489" s="67"/>
      <c r="AH489" s="67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  <c r="AS489" s="67"/>
      <c r="AT489" s="67"/>
      <c r="AU489" s="67"/>
      <c r="AV489" s="67"/>
      <c r="AW489" s="67"/>
      <c r="AX489" s="67"/>
      <c r="AY489" s="67"/>
      <c r="AZ489" s="67"/>
      <c r="BA489" s="67"/>
      <c r="BB489" s="67"/>
      <c r="BC489" s="67"/>
      <c r="BD489" s="67"/>
      <c r="BE489" s="67"/>
      <c r="BF489" s="67"/>
      <c r="BG489" s="67"/>
      <c r="BH489" s="67"/>
      <c r="BI489" s="67"/>
      <c r="BJ489" s="67"/>
      <c r="BK489" s="67"/>
      <c r="BL489" s="67"/>
      <c r="BM489" s="67"/>
      <c r="BN489" s="67"/>
      <c r="BO489" s="67"/>
      <c r="BP489" s="67"/>
      <c r="BQ489" s="67"/>
      <c r="BR489" s="67"/>
      <c r="BS489" s="67"/>
      <c r="BT489" s="67"/>
      <c r="BU489" s="67"/>
    </row>
    <row r="490" spans="15:73" x14ac:dyDescent="0.2"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  <c r="AE490" s="67"/>
      <c r="AF490" s="67"/>
      <c r="AG490" s="67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  <c r="AS490" s="67"/>
      <c r="AT490" s="67"/>
      <c r="AU490" s="67"/>
      <c r="AV490" s="67"/>
      <c r="AW490" s="67"/>
      <c r="AX490" s="67"/>
      <c r="AY490" s="67"/>
      <c r="AZ490" s="67"/>
      <c r="BA490" s="67"/>
      <c r="BB490" s="67"/>
      <c r="BC490" s="67"/>
      <c r="BD490" s="67"/>
      <c r="BE490" s="67"/>
      <c r="BF490" s="67"/>
      <c r="BG490" s="67"/>
      <c r="BH490" s="67"/>
      <c r="BI490" s="67"/>
      <c r="BJ490" s="67"/>
      <c r="BK490" s="67"/>
      <c r="BL490" s="67"/>
      <c r="BM490" s="67"/>
      <c r="BN490" s="67"/>
      <c r="BO490" s="67"/>
      <c r="BP490" s="67"/>
      <c r="BQ490" s="67"/>
      <c r="BR490" s="67"/>
      <c r="BS490" s="67"/>
      <c r="BT490" s="67"/>
      <c r="BU490" s="67"/>
    </row>
    <row r="491" spans="15:73" x14ac:dyDescent="0.2"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  <c r="AE491" s="67"/>
      <c r="AF491" s="67"/>
      <c r="AG491" s="67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  <c r="AS491" s="67"/>
      <c r="AT491" s="67"/>
      <c r="AU491" s="67"/>
      <c r="AV491" s="67"/>
      <c r="AW491" s="67"/>
      <c r="AX491" s="67"/>
      <c r="AY491" s="67"/>
      <c r="AZ491" s="67"/>
      <c r="BA491" s="67"/>
      <c r="BB491" s="67"/>
      <c r="BC491" s="67"/>
      <c r="BD491" s="67"/>
      <c r="BE491" s="67"/>
      <c r="BF491" s="67"/>
      <c r="BG491" s="67"/>
      <c r="BH491" s="67"/>
      <c r="BI491" s="67"/>
      <c r="BJ491" s="67"/>
      <c r="BK491" s="67"/>
      <c r="BL491" s="67"/>
      <c r="BM491" s="67"/>
      <c r="BN491" s="67"/>
      <c r="BO491" s="67"/>
      <c r="BP491" s="67"/>
      <c r="BQ491" s="67"/>
      <c r="BR491" s="67"/>
      <c r="BS491" s="67"/>
      <c r="BT491" s="67"/>
      <c r="BU491" s="67"/>
    </row>
    <row r="492" spans="15:73" x14ac:dyDescent="0.2"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  <c r="AE492" s="67"/>
      <c r="AF492" s="67"/>
      <c r="AG492" s="67"/>
      <c r="AH492" s="67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  <c r="AS492" s="67"/>
      <c r="AT492" s="67"/>
      <c r="AU492" s="67"/>
      <c r="AV492" s="67"/>
      <c r="AW492" s="67"/>
      <c r="AX492" s="67"/>
      <c r="AY492" s="67"/>
      <c r="AZ492" s="67"/>
      <c r="BA492" s="67"/>
      <c r="BB492" s="67"/>
      <c r="BC492" s="67"/>
      <c r="BD492" s="67"/>
      <c r="BE492" s="67"/>
      <c r="BF492" s="67"/>
      <c r="BG492" s="67"/>
      <c r="BH492" s="67"/>
      <c r="BI492" s="67"/>
      <c r="BJ492" s="67"/>
      <c r="BK492" s="67"/>
      <c r="BL492" s="67"/>
      <c r="BM492" s="67"/>
      <c r="BN492" s="67"/>
      <c r="BO492" s="67"/>
      <c r="BP492" s="67"/>
      <c r="BQ492" s="67"/>
      <c r="BR492" s="67"/>
      <c r="BS492" s="67"/>
      <c r="BT492" s="67"/>
      <c r="BU492" s="67"/>
    </row>
    <row r="493" spans="15:73" x14ac:dyDescent="0.2"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  <c r="AE493" s="67"/>
      <c r="AF493" s="67"/>
      <c r="AG493" s="67"/>
      <c r="AH493" s="67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  <c r="AS493" s="67"/>
      <c r="AT493" s="67"/>
      <c r="AU493" s="67"/>
      <c r="AV493" s="67"/>
      <c r="AW493" s="67"/>
      <c r="AX493" s="67"/>
      <c r="AY493" s="67"/>
      <c r="AZ493" s="67"/>
      <c r="BA493" s="67"/>
      <c r="BB493" s="67"/>
      <c r="BC493" s="67"/>
      <c r="BD493" s="67"/>
      <c r="BE493" s="67"/>
      <c r="BF493" s="67"/>
      <c r="BG493" s="67"/>
      <c r="BH493" s="67"/>
      <c r="BI493" s="67"/>
      <c r="BJ493" s="67"/>
      <c r="BK493" s="67"/>
      <c r="BL493" s="67"/>
      <c r="BM493" s="67"/>
      <c r="BN493" s="67"/>
      <c r="BO493" s="67"/>
      <c r="BP493" s="67"/>
      <c r="BQ493" s="67"/>
      <c r="BR493" s="67"/>
      <c r="BS493" s="67"/>
      <c r="BT493" s="67"/>
      <c r="BU493" s="67"/>
    </row>
    <row r="494" spans="15:73" x14ac:dyDescent="0.2"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  <c r="AE494" s="67"/>
      <c r="AF494" s="67"/>
      <c r="AG494" s="67"/>
      <c r="AH494" s="67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  <c r="AS494" s="67"/>
      <c r="AT494" s="67"/>
      <c r="AU494" s="67"/>
      <c r="AV494" s="67"/>
      <c r="AW494" s="67"/>
      <c r="AX494" s="67"/>
      <c r="AY494" s="67"/>
      <c r="AZ494" s="67"/>
      <c r="BA494" s="67"/>
      <c r="BB494" s="67"/>
      <c r="BC494" s="67"/>
      <c r="BD494" s="67"/>
      <c r="BE494" s="67"/>
      <c r="BF494" s="67"/>
      <c r="BG494" s="67"/>
      <c r="BH494" s="67"/>
      <c r="BI494" s="67"/>
      <c r="BJ494" s="67"/>
      <c r="BK494" s="67"/>
      <c r="BL494" s="67"/>
      <c r="BM494" s="67"/>
      <c r="BN494" s="67"/>
      <c r="BO494" s="67"/>
      <c r="BP494" s="67"/>
      <c r="BQ494" s="67"/>
      <c r="BR494" s="67"/>
      <c r="BS494" s="67"/>
      <c r="BT494" s="67"/>
      <c r="BU494" s="67"/>
    </row>
    <row r="495" spans="15:73" x14ac:dyDescent="0.2"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  <c r="AS495" s="67"/>
      <c r="AT495" s="67"/>
      <c r="AU495" s="67"/>
      <c r="AV495" s="67"/>
      <c r="AW495" s="67"/>
      <c r="AX495" s="67"/>
      <c r="AY495" s="67"/>
      <c r="AZ495" s="67"/>
      <c r="BA495" s="67"/>
      <c r="BB495" s="67"/>
      <c r="BC495" s="67"/>
      <c r="BD495" s="67"/>
      <c r="BE495" s="67"/>
      <c r="BF495" s="67"/>
      <c r="BG495" s="67"/>
      <c r="BH495" s="67"/>
      <c r="BI495" s="67"/>
      <c r="BJ495" s="67"/>
      <c r="BK495" s="67"/>
      <c r="BL495" s="67"/>
      <c r="BM495" s="67"/>
      <c r="BN495" s="67"/>
      <c r="BO495" s="67"/>
      <c r="BP495" s="67"/>
      <c r="BQ495" s="67"/>
      <c r="BR495" s="67"/>
      <c r="BS495" s="67"/>
      <c r="BT495" s="67"/>
      <c r="BU495" s="67"/>
    </row>
    <row r="496" spans="15:73" x14ac:dyDescent="0.2"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  <c r="AF496" s="67"/>
      <c r="AG496" s="67"/>
      <c r="AH496" s="67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  <c r="AS496" s="67"/>
      <c r="AT496" s="67"/>
      <c r="AU496" s="67"/>
      <c r="AV496" s="67"/>
      <c r="AW496" s="67"/>
      <c r="AX496" s="67"/>
      <c r="AY496" s="67"/>
      <c r="AZ496" s="67"/>
      <c r="BA496" s="67"/>
      <c r="BB496" s="67"/>
      <c r="BC496" s="67"/>
      <c r="BD496" s="67"/>
      <c r="BE496" s="67"/>
      <c r="BF496" s="67"/>
      <c r="BG496" s="67"/>
      <c r="BH496" s="67"/>
      <c r="BI496" s="67"/>
      <c r="BJ496" s="67"/>
      <c r="BK496" s="67"/>
      <c r="BL496" s="67"/>
      <c r="BM496" s="67"/>
      <c r="BN496" s="67"/>
      <c r="BO496" s="67"/>
      <c r="BP496" s="67"/>
      <c r="BQ496" s="67"/>
      <c r="BR496" s="67"/>
      <c r="BS496" s="67"/>
      <c r="BT496" s="67"/>
      <c r="BU496" s="67"/>
    </row>
    <row r="497" spans="15:73" x14ac:dyDescent="0.2"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  <c r="AE497" s="67"/>
      <c r="AF497" s="67"/>
      <c r="AG497" s="67"/>
      <c r="AH497" s="67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  <c r="AS497" s="67"/>
      <c r="AT497" s="67"/>
      <c r="AU497" s="67"/>
      <c r="AV497" s="67"/>
      <c r="AW497" s="67"/>
      <c r="AX497" s="67"/>
      <c r="AY497" s="67"/>
      <c r="AZ497" s="67"/>
      <c r="BA497" s="67"/>
      <c r="BB497" s="67"/>
      <c r="BC497" s="67"/>
      <c r="BD497" s="67"/>
      <c r="BE497" s="67"/>
      <c r="BF497" s="67"/>
      <c r="BG497" s="67"/>
      <c r="BH497" s="67"/>
      <c r="BI497" s="67"/>
      <c r="BJ497" s="67"/>
      <c r="BK497" s="67"/>
      <c r="BL497" s="67"/>
      <c r="BM497" s="67"/>
      <c r="BN497" s="67"/>
      <c r="BO497" s="67"/>
      <c r="BP497" s="67"/>
      <c r="BQ497" s="67"/>
      <c r="BR497" s="67"/>
      <c r="BS497" s="67"/>
      <c r="BT497" s="67"/>
      <c r="BU497" s="67"/>
    </row>
    <row r="498" spans="15:73" x14ac:dyDescent="0.2"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  <c r="AE498" s="67"/>
      <c r="AF498" s="67"/>
      <c r="AG498" s="67"/>
      <c r="AH498" s="67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  <c r="AS498" s="67"/>
      <c r="AT498" s="67"/>
      <c r="AU498" s="67"/>
      <c r="AV498" s="67"/>
      <c r="AW498" s="67"/>
      <c r="AX498" s="67"/>
      <c r="AY498" s="67"/>
      <c r="AZ498" s="67"/>
      <c r="BA498" s="67"/>
      <c r="BB498" s="67"/>
      <c r="BC498" s="67"/>
      <c r="BD498" s="67"/>
      <c r="BE498" s="67"/>
      <c r="BF498" s="67"/>
      <c r="BG498" s="67"/>
      <c r="BH498" s="67"/>
      <c r="BI498" s="67"/>
      <c r="BJ498" s="67"/>
      <c r="BK498" s="67"/>
      <c r="BL498" s="67"/>
      <c r="BM498" s="67"/>
      <c r="BN498" s="67"/>
      <c r="BO498" s="67"/>
      <c r="BP498" s="67"/>
      <c r="BQ498" s="67"/>
      <c r="BR498" s="67"/>
      <c r="BS498" s="67"/>
      <c r="BT498" s="67"/>
      <c r="BU498" s="67"/>
    </row>
    <row r="499" spans="15:73" x14ac:dyDescent="0.2"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  <c r="AF499" s="67"/>
      <c r="AG499" s="67"/>
      <c r="AH499" s="67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  <c r="AS499" s="67"/>
      <c r="AT499" s="67"/>
      <c r="AU499" s="67"/>
      <c r="AV499" s="67"/>
      <c r="AW499" s="67"/>
      <c r="AX499" s="67"/>
      <c r="AY499" s="67"/>
      <c r="AZ499" s="67"/>
      <c r="BA499" s="67"/>
      <c r="BB499" s="67"/>
      <c r="BC499" s="67"/>
      <c r="BD499" s="67"/>
      <c r="BE499" s="67"/>
      <c r="BF499" s="67"/>
      <c r="BG499" s="67"/>
      <c r="BH499" s="67"/>
      <c r="BI499" s="67"/>
      <c r="BJ499" s="67"/>
      <c r="BK499" s="67"/>
      <c r="BL499" s="67"/>
      <c r="BM499" s="67"/>
      <c r="BN499" s="67"/>
      <c r="BO499" s="67"/>
      <c r="BP499" s="67"/>
      <c r="BQ499" s="67"/>
      <c r="BR499" s="67"/>
      <c r="BS499" s="67"/>
      <c r="BT499" s="67"/>
      <c r="BU499" s="67"/>
    </row>
    <row r="500" spans="15:73" x14ac:dyDescent="0.2"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  <c r="AE500" s="67"/>
      <c r="AF500" s="67"/>
      <c r="AG500" s="67"/>
      <c r="AH500" s="67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  <c r="AS500" s="67"/>
      <c r="AT500" s="67"/>
      <c r="AU500" s="67"/>
      <c r="AV500" s="67"/>
      <c r="AW500" s="67"/>
      <c r="AX500" s="67"/>
      <c r="AY500" s="67"/>
      <c r="AZ500" s="67"/>
      <c r="BA500" s="67"/>
      <c r="BB500" s="67"/>
      <c r="BC500" s="67"/>
      <c r="BD500" s="67"/>
      <c r="BE500" s="67"/>
      <c r="BF500" s="67"/>
      <c r="BG500" s="67"/>
      <c r="BH500" s="67"/>
      <c r="BI500" s="67"/>
      <c r="BJ500" s="67"/>
      <c r="BK500" s="67"/>
      <c r="BL500" s="67"/>
      <c r="BM500" s="67"/>
      <c r="BN500" s="67"/>
      <c r="BO500" s="67"/>
      <c r="BP500" s="67"/>
      <c r="BQ500" s="67"/>
      <c r="BR500" s="67"/>
      <c r="BS500" s="67"/>
      <c r="BT500" s="67"/>
      <c r="BU500" s="67"/>
    </row>
    <row r="501" spans="15:73" x14ac:dyDescent="0.2"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  <c r="AF501" s="67"/>
      <c r="AG501" s="67"/>
      <c r="AH501" s="67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  <c r="AS501" s="67"/>
      <c r="AT501" s="67"/>
      <c r="AU501" s="67"/>
      <c r="AV501" s="67"/>
      <c r="AW501" s="67"/>
      <c r="AX501" s="67"/>
      <c r="AY501" s="67"/>
      <c r="AZ501" s="67"/>
      <c r="BA501" s="67"/>
      <c r="BB501" s="67"/>
      <c r="BC501" s="67"/>
      <c r="BD501" s="67"/>
      <c r="BE501" s="67"/>
      <c r="BF501" s="67"/>
      <c r="BG501" s="67"/>
      <c r="BH501" s="67"/>
      <c r="BI501" s="67"/>
      <c r="BJ501" s="67"/>
      <c r="BK501" s="67"/>
      <c r="BL501" s="67"/>
      <c r="BM501" s="67"/>
      <c r="BN501" s="67"/>
      <c r="BO501" s="67"/>
      <c r="BP501" s="67"/>
      <c r="BQ501" s="67"/>
      <c r="BR501" s="67"/>
      <c r="BS501" s="67"/>
      <c r="BT501" s="67"/>
      <c r="BU501" s="67"/>
    </row>
    <row r="502" spans="15:73" x14ac:dyDescent="0.2"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  <c r="AE502" s="67"/>
      <c r="AF502" s="67"/>
      <c r="AG502" s="67"/>
      <c r="AH502" s="67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  <c r="AS502" s="67"/>
      <c r="AT502" s="67"/>
      <c r="AU502" s="67"/>
      <c r="AV502" s="67"/>
      <c r="AW502" s="67"/>
      <c r="AX502" s="67"/>
      <c r="AY502" s="67"/>
      <c r="AZ502" s="67"/>
      <c r="BA502" s="67"/>
      <c r="BB502" s="67"/>
      <c r="BC502" s="67"/>
      <c r="BD502" s="67"/>
      <c r="BE502" s="67"/>
      <c r="BF502" s="67"/>
      <c r="BG502" s="67"/>
      <c r="BH502" s="67"/>
      <c r="BI502" s="67"/>
      <c r="BJ502" s="67"/>
      <c r="BK502" s="67"/>
      <c r="BL502" s="67"/>
      <c r="BM502" s="67"/>
      <c r="BN502" s="67"/>
      <c r="BO502" s="67"/>
      <c r="BP502" s="67"/>
      <c r="BQ502" s="67"/>
      <c r="BR502" s="67"/>
      <c r="BS502" s="67"/>
      <c r="BT502" s="67"/>
      <c r="BU502" s="67"/>
    </row>
    <row r="503" spans="15:73" x14ac:dyDescent="0.2"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  <c r="AF503" s="67"/>
      <c r="AG503" s="67"/>
      <c r="AH503" s="67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  <c r="AS503" s="67"/>
      <c r="AT503" s="67"/>
      <c r="AU503" s="67"/>
      <c r="AV503" s="67"/>
      <c r="AW503" s="67"/>
      <c r="AX503" s="67"/>
      <c r="AY503" s="67"/>
      <c r="AZ503" s="67"/>
      <c r="BA503" s="67"/>
      <c r="BB503" s="67"/>
      <c r="BC503" s="67"/>
      <c r="BD503" s="67"/>
      <c r="BE503" s="67"/>
      <c r="BF503" s="67"/>
      <c r="BG503" s="67"/>
      <c r="BH503" s="67"/>
      <c r="BI503" s="67"/>
      <c r="BJ503" s="67"/>
      <c r="BK503" s="67"/>
      <c r="BL503" s="67"/>
      <c r="BM503" s="67"/>
      <c r="BN503" s="67"/>
      <c r="BO503" s="67"/>
      <c r="BP503" s="67"/>
      <c r="BQ503" s="67"/>
      <c r="BR503" s="67"/>
      <c r="BS503" s="67"/>
      <c r="BT503" s="67"/>
      <c r="BU503" s="67"/>
    </row>
    <row r="504" spans="15:73" x14ac:dyDescent="0.2"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  <c r="AE504" s="67"/>
      <c r="AF504" s="67"/>
      <c r="AG504" s="67"/>
      <c r="AH504" s="67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  <c r="AS504" s="67"/>
      <c r="AT504" s="67"/>
      <c r="AU504" s="67"/>
      <c r="AV504" s="67"/>
      <c r="AW504" s="67"/>
      <c r="AX504" s="67"/>
      <c r="AY504" s="67"/>
      <c r="AZ504" s="67"/>
      <c r="BA504" s="67"/>
      <c r="BB504" s="67"/>
      <c r="BC504" s="67"/>
      <c r="BD504" s="67"/>
      <c r="BE504" s="67"/>
      <c r="BF504" s="67"/>
      <c r="BG504" s="67"/>
      <c r="BH504" s="67"/>
      <c r="BI504" s="67"/>
      <c r="BJ504" s="67"/>
      <c r="BK504" s="67"/>
      <c r="BL504" s="67"/>
      <c r="BM504" s="67"/>
      <c r="BN504" s="67"/>
      <c r="BO504" s="67"/>
      <c r="BP504" s="67"/>
      <c r="BQ504" s="67"/>
      <c r="BR504" s="67"/>
      <c r="BS504" s="67"/>
      <c r="BT504" s="67"/>
      <c r="BU504" s="67"/>
    </row>
    <row r="505" spans="15:73" x14ac:dyDescent="0.2"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  <c r="AE505" s="67"/>
      <c r="AF505" s="67"/>
      <c r="AG505" s="67"/>
      <c r="AH505" s="67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  <c r="AS505" s="67"/>
      <c r="AT505" s="67"/>
      <c r="AU505" s="67"/>
      <c r="AV505" s="67"/>
      <c r="AW505" s="67"/>
      <c r="AX505" s="67"/>
      <c r="AY505" s="67"/>
      <c r="AZ505" s="67"/>
      <c r="BA505" s="67"/>
      <c r="BB505" s="67"/>
      <c r="BC505" s="67"/>
      <c r="BD505" s="67"/>
      <c r="BE505" s="67"/>
      <c r="BF505" s="67"/>
      <c r="BG505" s="67"/>
      <c r="BH505" s="67"/>
      <c r="BI505" s="67"/>
      <c r="BJ505" s="67"/>
      <c r="BK505" s="67"/>
      <c r="BL505" s="67"/>
      <c r="BM505" s="67"/>
      <c r="BN505" s="67"/>
      <c r="BO505" s="67"/>
      <c r="BP505" s="67"/>
      <c r="BQ505" s="67"/>
      <c r="BR505" s="67"/>
      <c r="BS505" s="67"/>
      <c r="BT505" s="67"/>
      <c r="BU505" s="67"/>
    </row>
    <row r="506" spans="15:73" x14ac:dyDescent="0.2"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  <c r="AE506" s="67"/>
      <c r="AF506" s="67"/>
      <c r="AG506" s="67"/>
      <c r="AH506" s="67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  <c r="AS506" s="67"/>
      <c r="AT506" s="67"/>
      <c r="AU506" s="67"/>
      <c r="AV506" s="67"/>
      <c r="AW506" s="67"/>
      <c r="AX506" s="67"/>
      <c r="AY506" s="67"/>
      <c r="AZ506" s="67"/>
      <c r="BA506" s="67"/>
      <c r="BB506" s="67"/>
      <c r="BC506" s="67"/>
      <c r="BD506" s="67"/>
      <c r="BE506" s="67"/>
      <c r="BF506" s="67"/>
      <c r="BG506" s="67"/>
      <c r="BH506" s="67"/>
      <c r="BI506" s="67"/>
      <c r="BJ506" s="67"/>
      <c r="BK506" s="67"/>
      <c r="BL506" s="67"/>
      <c r="BM506" s="67"/>
      <c r="BN506" s="67"/>
      <c r="BO506" s="67"/>
      <c r="BP506" s="67"/>
      <c r="BQ506" s="67"/>
      <c r="BR506" s="67"/>
      <c r="BS506" s="67"/>
      <c r="BT506" s="67"/>
      <c r="BU506" s="67"/>
    </row>
    <row r="507" spans="15:73" x14ac:dyDescent="0.2"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  <c r="AE507" s="67"/>
      <c r="AF507" s="67"/>
      <c r="AG507" s="67"/>
      <c r="AH507" s="67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  <c r="AS507" s="67"/>
      <c r="AT507" s="67"/>
      <c r="AU507" s="67"/>
      <c r="AV507" s="67"/>
      <c r="AW507" s="67"/>
      <c r="AX507" s="67"/>
      <c r="AY507" s="67"/>
      <c r="AZ507" s="67"/>
      <c r="BA507" s="67"/>
      <c r="BB507" s="67"/>
      <c r="BC507" s="67"/>
      <c r="BD507" s="67"/>
      <c r="BE507" s="67"/>
      <c r="BF507" s="67"/>
      <c r="BG507" s="67"/>
      <c r="BH507" s="67"/>
      <c r="BI507" s="67"/>
      <c r="BJ507" s="67"/>
      <c r="BK507" s="67"/>
      <c r="BL507" s="67"/>
      <c r="BM507" s="67"/>
      <c r="BN507" s="67"/>
      <c r="BO507" s="67"/>
      <c r="BP507" s="67"/>
      <c r="BQ507" s="67"/>
      <c r="BR507" s="67"/>
      <c r="BS507" s="67"/>
      <c r="BT507" s="67"/>
      <c r="BU507" s="67"/>
    </row>
    <row r="508" spans="15:73" x14ac:dyDescent="0.2"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  <c r="AE508" s="67"/>
      <c r="AF508" s="67"/>
      <c r="AG508" s="67"/>
      <c r="AH508" s="67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  <c r="AS508" s="67"/>
      <c r="AT508" s="67"/>
      <c r="AU508" s="67"/>
      <c r="AV508" s="67"/>
      <c r="AW508" s="67"/>
      <c r="AX508" s="67"/>
      <c r="AY508" s="67"/>
      <c r="AZ508" s="67"/>
      <c r="BA508" s="67"/>
      <c r="BB508" s="67"/>
      <c r="BC508" s="67"/>
      <c r="BD508" s="67"/>
      <c r="BE508" s="67"/>
      <c r="BF508" s="67"/>
      <c r="BG508" s="67"/>
      <c r="BH508" s="67"/>
      <c r="BI508" s="67"/>
      <c r="BJ508" s="67"/>
      <c r="BK508" s="67"/>
      <c r="BL508" s="67"/>
      <c r="BM508" s="67"/>
      <c r="BN508" s="67"/>
      <c r="BO508" s="67"/>
      <c r="BP508" s="67"/>
      <c r="BQ508" s="67"/>
      <c r="BR508" s="67"/>
      <c r="BS508" s="67"/>
      <c r="BT508" s="67"/>
      <c r="BU508" s="67"/>
    </row>
    <row r="509" spans="15:73" x14ac:dyDescent="0.2"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67"/>
      <c r="AG509" s="67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  <c r="AS509" s="67"/>
      <c r="AT509" s="67"/>
      <c r="AU509" s="67"/>
      <c r="AV509" s="67"/>
      <c r="AW509" s="67"/>
      <c r="AX509" s="67"/>
      <c r="AY509" s="67"/>
      <c r="AZ509" s="67"/>
      <c r="BA509" s="67"/>
      <c r="BB509" s="67"/>
      <c r="BC509" s="67"/>
      <c r="BD509" s="67"/>
      <c r="BE509" s="67"/>
      <c r="BF509" s="67"/>
      <c r="BG509" s="67"/>
      <c r="BH509" s="67"/>
      <c r="BI509" s="67"/>
      <c r="BJ509" s="67"/>
      <c r="BK509" s="67"/>
      <c r="BL509" s="67"/>
      <c r="BM509" s="67"/>
      <c r="BN509" s="67"/>
      <c r="BO509" s="67"/>
      <c r="BP509" s="67"/>
      <c r="BQ509" s="67"/>
      <c r="BR509" s="67"/>
      <c r="BS509" s="67"/>
      <c r="BT509" s="67"/>
      <c r="BU509" s="67"/>
    </row>
    <row r="510" spans="15:73" x14ac:dyDescent="0.2"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  <c r="AF510" s="67"/>
      <c r="AG510" s="67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  <c r="AS510" s="67"/>
      <c r="AT510" s="67"/>
      <c r="AU510" s="67"/>
      <c r="AV510" s="67"/>
      <c r="AW510" s="67"/>
      <c r="AX510" s="67"/>
      <c r="AY510" s="67"/>
      <c r="AZ510" s="67"/>
      <c r="BA510" s="67"/>
      <c r="BB510" s="67"/>
      <c r="BC510" s="67"/>
      <c r="BD510" s="67"/>
      <c r="BE510" s="67"/>
      <c r="BF510" s="67"/>
      <c r="BG510" s="67"/>
      <c r="BH510" s="67"/>
      <c r="BI510" s="67"/>
      <c r="BJ510" s="67"/>
      <c r="BK510" s="67"/>
      <c r="BL510" s="67"/>
      <c r="BM510" s="67"/>
      <c r="BN510" s="67"/>
      <c r="BO510" s="67"/>
      <c r="BP510" s="67"/>
      <c r="BQ510" s="67"/>
      <c r="BR510" s="67"/>
      <c r="BS510" s="67"/>
      <c r="BT510" s="67"/>
      <c r="BU510" s="67"/>
    </row>
    <row r="511" spans="15:73" x14ac:dyDescent="0.2"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  <c r="AF511" s="67"/>
      <c r="AG511" s="67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  <c r="AS511" s="67"/>
      <c r="AT511" s="67"/>
      <c r="AU511" s="67"/>
      <c r="AV511" s="67"/>
      <c r="AW511" s="67"/>
      <c r="AX511" s="67"/>
      <c r="AY511" s="67"/>
      <c r="AZ511" s="67"/>
      <c r="BA511" s="67"/>
      <c r="BB511" s="67"/>
      <c r="BC511" s="67"/>
      <c r="BD511" s="67"/>
      <c r="BE511" s="67"/>
      <c r="BF511" s="67"/>
      <c r="BG511" s="67"/>
      <c r="BH511" s="67"/>
      <c r="BI511" s="67"/>
      <c r="BJ511" s="67"/>
      <c r="BK511" s="67"/>
      <c r="BL511" s="67"/>
      <c r="BM511" s="67"/>
      <c r="BN511" s="67"/>
      <c r="BO511" s="67"/>
      <c r="BP511" s="67"/>
      <c r="BQ511" s="67"/>
      <c r="BR511" s="67"/>
      <c r="BS511" s="67"/>
      <c r="BT511" s="67"/>
      <c r="BU511" s="67"/>
    </row>
    <row r="512" spans="15:73" x14ac:dyDescent="0.2"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  <c r="AF512" s="67"/>
      <c r="AG512" s="67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  <c r="AS512" s="67"/>
      <c r="AT512" s="67"/>
      <c r="AU512" s="67"/>
      <c r="AV512" s="67"/>
      <c r="AW512" s="67"/>
      <c r="AX512" s="67"/>
      <c r="AY512" s="67"/>
      <c r="AZ512" s="67"/>
      <c r="BA512" s="67"/>
      <c r="BB512" s="67"/>
      <c r="BC512" s="67"/>
      <c r="BD512" s="67"/>
      <c r="BE512" s="67"/>
      <c r="BF512" s="67"/>
      <c r="BG512" s="67"/>
      <c r="BH512" s="67"/>
      <c r="BI512" s="67"/>
      <c r="BJ512" s="67"/>
      <c r="BK512" s="67"/>
      <c r="BL512" s="67"/>
      <c r="BM512" s="67"/>
      <c r="BN512" s="67"/>
      <c r="BO512" s="67"/>
      <c r="BP512" s="67"/>
      <c r="BQ512" s="67"/>
      <c r="BR512" s="67"/>
      <c r="BS512" s="67"/>
      <c r="BT512" s="67"/>
      <c r="BU512" s="67"/>
    </row>
    <row r="513" spans="15:73" x14ac:dyDescent="0.2"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7"/>
      <c r="AD513" s="67"/>
      <c r="AE513" s="67"/>
      <c r="AF513" s="67"/>
      <c r="AG513" s="67"/>
      <c r="AH513" s="67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  <c r="AS513" s="67"/>
      <c r="AT513" s="67"/>
      <c r="AU513" s="67"/>
      <c r="AV513" s="67"/>
      <c r="AW513" s="67"/>
      <c r="AX513" s="67"/>
      <c r="AY513" s="67"/>
      <c r="AZ513" s="67"/>
      <c r="BA513" s="67"/>
      <c r="BB513" s="67"/>
      <c r="BC513" s="67"/>
      <c r="BD513" s="67"/>
      <c r="BE513" s="67"/>
      <c r="BF513" s="67"/>
      <c r="BG513" s="67"/>
      <c r="BH513" s="67"/>
      <c r="BI513" s="67"/>
      <c r="BJ513" s="67"/>
      <c r="BK513" s="67"/>
      <c r="BL513" s="67"/>
      <c r="BM513" s="67"/>
      <c r="BN513" s="67"/>
      <c r="BO513" s="67"/>
      <c r="BP513" s="67"/>
      <c r="BQ513" s="67"/>
      <c r="BR513" s="67"/>
      <c r="BS513" s="67"/>
      <c r="BT513" s="67"/>
      <c r="BU513" s="67"/>
    </row>
    <row r="514" spans="15:73" x14ac:dyDescent="0.2"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/>
      <c r="AE514" s="67"/>
      <c r="AF514" s="67"/>
      <c r="AG514" s="67"/>
      <c r="AH514" s="67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  <c r="AS514" s="67"/>
      <c r="AT514" s="67"/>
      <c r="AU514" s="67"/>
      <c r="AV514" s="67"/>
      <c r="AW514" s="67"/>
      <c r="AX514" s="67"/>
      <c r="AY514" s="67"/>
      <c r="AZ514" s="67"/>
      <c r="BA514" s="67"/>
      <c r="BB514" s="67"/>
      <c r="BC514" s="67"/>
      <c r="BD514" s="67"/>
      <c r="BE514" s="67"/>
      <c r="BF514" s="67"/>
      <c r="BG514" s="67"/>
      <c r="BH514" s="67"/>
      <c r="BI514" s="67"/>
      <c r="BJ514" s="67"/>
      <c r="BK514" s="67"/>
      <c r="BL514" s="67"/>
      <c r="BM514" s="67"/>
      <c r="BN514" s="67"/>
      <c r="BO514" s="67"/>
      <c r="BP514" s="67"/>
      <c r="BQ514" s="67"/>
      <c r="BR514" s="67"/>
      <c r="BS514" s="67"/>
      <c r="BT514" s="67"/>
      <c r="BU514" s="67"/>
    </row>
    <row r="515" spans="15:73" x14ac:dyDescent="0.2"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  <c r="AT515" s="67"/>
      <c r="AU515" s="67"/>
      <c r="AV515" s="67"/>
      <c r="AW515" s="67"/>
      <c r="AX515" s="67"/>
      <c r="AY515" s="67"/>
      <c r="AZ515" s="67"/>
      <c r="BA515" s="67"/>
      <c r="BB515" s="67"/>
      <c r="BC515" s="67"/>
      <c r="BD515" s="67"/>
      <c r="BE515" s="67"/>
      <c r="BF515" s="67"/>
      <c r="BG515" s="67"/>
      <c r="BH515" s="67"/>
      <c r="BI515" s="67"/>
      <c r="BJ515" s="67"/>
      <c r="BK515" s="67"/>
      <c r="BL515" s="67"/>
      <c r="BM515" s="67"/>
      <c r="BN515" s="67"/>
      <c r="BO515" s="67"/>
      <c r="BP515" s="67"/>
      <c r="BQ515" s="67"/>
      <c r="BR515" s="67"/>
      <c r="BS515" s="67"/>
      <c r="BT515" s="67"/>
      <c r="BU515" s="67"/>
    </row>
    <row r="516" spans="15:73" x14ac:dyDescent="0.2"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  <c r="AE516" s="67"/>
      <c r="AF516" s="67"/>
      <c r="AG516" s="67"/>
      <c r="AH516" s="67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  <c r="AS516" s="67"/>
      <c r="AT516" s="67"/>
      <c r="AU516" s="67"/>
      <c r="AV516" s="67"/>
      <c r="AW516" s="67"/>
      <c r="AX516" s="67"/>
      <c r="AY516" s="67"/>
      <c r="AZ516" s="67"/>
      <c r="BA516" s="67"/>
      <c r="BB516" s="67"/>
      <c r="BC516" s="67"/>
      <c r="BD516" s="67"/>
      <c r="BE516" s="67"/>
      <c r="BF516" s="67"/>
      <c r="BG516" s="67"/>
      <c r="BH516" s="67"/>
      <c r="BI516" s="67"/>
      <c r="BJ516" s="67"/>
      <c r="BK516" s="67"/>
      <c r="BL516" s="67"/>
      <c r="BM516" s="67"/>
      <c r="BN516" s="67"/>
      <c r="BO516" s="67"/>
      <c r="BP516" s="67"/>
      <c r="BQ516" s="67"/>
      <c r="BR516" s="67"/>
      <c r="BS516" s="67"/>
      <c r="BT516" s="67"/>
      <c r="BU516" s="67"/>
    </row>
    <row r="517" spans="15:73" x14ac:dyDescent="0.2"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  <c r="AE517" s="67"/>
      <c r="AF517" s="67"/>
      <c r="AG517" s="67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  <c r="AS517" s="67"/>
      <c r="AT517" s="67"/>
      <c r="AU517" s="67"/>
      <c r="AV517" s="67"/>
      <c r="AW517" s="67"/>
      <c r="AX517" s="67"/>
      <c r="AY517" s="67"/>
      <c r="AZ517" s="67"/>
      <c r="BA517" s="67"/>
      <c r="BB517" s="67"/>
      <c r="BC517" s="67"/>
      <c r="BD517" s="67"/>
      <c r="BE517" s="67"/>
      <c r="BF517" s="67"/>
      <c r="BG517" s="67"/>
      <c r="BH517" s="67"/>
      <c r="BI517" s="67"/>
      <c r="BJ517" s="67"/>
      <c r="BK517" s="67"/>
      <c r="BL517" s="67"/>
      <c r="BM517" s="67"/>
      <c r="BN517" s="67"/>
      <c r="BO517" s="67"/>
      <c r="BP517" s="67"/>
      <c r="BQ517" s="67"/>
      <c r="BR517" s="67"/>
      <c r="BS517" s="67"/>
      <c r="BT517" s="67"/>
      <c r="BU517" s="67"/>
    </row>
    <row r="518" spans="15:73" x14ac:dyDescent="0.2"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/>
      <c r="AE518" s="67"/>
      <c r="AF518" s="67"/>
      <c r="AG518" s="67"/>
      <c r="AH518" s="67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  <c r="AS518" s="67"/>
      <c r="AT518" s="67"/>
      <c r="AU518" s="67"/>
      <c r="AV518" s="67"/>
      <c r="AW518" s="67"/>
      <c r="AX518" s="67"/>
      <c r="AY518" s="67"/>
      <c r="AZ518" s="67"/>
      <c r="BA518" s="67"/>
      <c r="BB518" s="67"/>
      <c r="BC518" s="67"/>
      <c r="BD518" s="67"/>
      <c r="BE518" s="67"/>
      <c r="BF518" s="67"/>
      <c r="BG518" s="67"/>
      <c r="BH518" s="67"/>
      <c r="BI518" s="67"/>
      <c r="BJ518" s="67"/>
      <c r="BK518" s="67"/>
      <c r="BL518" s="67"/>
      <c r="BM518" s="67"/>
      <c r="BN518" s="67"/>
      <c r="BO518" s="67"/>
      <c r="BP518" s="67"/>
      <c r="BQ518" s="67"/>
      <c r="BR518" s="67"/>
      <c r="BS518" s="67"/>
      <c r="BT518" s="67"/>
      <c r="BU518" s="67"/>
    </row>
    <row r="519" spans="15:73" x14ac:dyDescent="0.2"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  <c r="AE519" s="67"/>
      <c r="AF519" s="67"/>
      <c r="AG519" s="67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  <c r="AS519" s="67"/>
      <c r="AT519" s="67"/>
      <c r="AU519" s="67"/>
      <c r="AV519" s="67"/>
      <c r="AW519" s="67"/>
      <c r="AX519" s="67"/>
      <c r="AY519" s="67"/>
      <c r="AZ519" s="67"/>
      <c r="BA519" s="67"/>
      <c r="BB519" s="67"/>
      <c r="BC519" s="67"/>
      <c r="BD519" s="67"/>
      <c r="BE519" s="67"/>
      <c r="BF519" s="67"/>
      <c r="BG519" s="67"/>
      <c r="BH519" s="67"/>
      <c r="BI519" s="67"/>
      <c r="BJ519" s="67"/>
      <c r="BK519" s="67"/>
      <c r="BL519" s="67"/>
      <c r="BM519" s="67"/>
      <c r="BN519" s="67"/>
      <c r="BO519" s="67"/>
      <c r="BP519" s="67"/>
      <c r="BQ519" s="67"/>
      <c r="BR519" s="67"/>
      <c r="BS519" s="67"/>
      <c r="BT519" s="67"/>
      <c r="BU519" s="67"/>
    </row>
    <row r="520" spans="15:73" x14ac:dyDescent="0.2"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  <c r="AS520" s="67"/>
      <c r="AT520" s="67"/>
      <c r="AU520" s="67"/>
      <c r="AV520" s="67"/>
      <c r="AW520" s="67"/>
      <c r="AX520" s="67"/>
      <c r="AY520" s="67"/>
      <c r="AZ520" s="67"/>
      <c r="BA520" s="67"/>
      <c r="BB520" s="67"/>
      <c r="BC520" s="67"/>
      <c r="BD520" s="67"/>
      <c r="BE520" s="67"/>
      <c r="BF520" s="67"/>
      <c r="BG520" s="67"/>
      <c r="BH520" s="67"/>
      <c r="BI520" s="67"/>
      <c r="BJ520" s="67"/>
      <c r="BK520" s="67"/>
      <c r="BL520" s="67"/>
      <c r="BM520" s="67"/>
      <c r="BN520" s="67"/>
      <c r="BO520" s="67"/>
      <c r="BP520" s="67"/>
      <c r="BQ520" s="67"/>
      <c r="BR520" s="67"/>
      <c r="BS520" s="67"/>
      <c r="BT520" s="67"/>
      <c r="BU520" s="67"/>
    </row>
    <row r="521" spans="15:73" x14ac:dyDescent="0.2"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/>
      <c r="AF521" s="67"/>
      <c r="AG521" s="67"/>
      <c r="AH521" s="67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  <c r="AS521" s="67"/>
      <c r="AT521" s="67"/>
      <c r="AU521" s="67"/>
      <c r="AV521" s="67"/>
      <c r="AW521" s="67"/>
      <c r="AX521" s="67"/>
      <c r="AY521" s="67"/>
      <c r="AZ521" s="67"/>
      <c r="BA521" s="67"/>
      <c r="BB521" s="67"/>
      <c r="BC521" s="67"/>
      <c r="BD521" s="67"/>
      <c r="BE521" s="67"/>
      <c r="BF521" s="67"/>
      <c r="BG521" s="67"/>
      <c r="BH521" s="67"/>
      <c r="BI521" s="67"/>
      <c r="BJ521" s="67"/>
      <c r="BK521" s="67"/>
      <c r="BL521" s="67"/>
      <c r="BM521" s="67"/>
      <c r="BN521" s="67"/>
      <c r="BO521" s="67"/>
      <c r="BP521" s="67"/>
      <c r="BQ521" s="67"/>
      <c r="BR521" s="67"/>
      <c r="BS521" s="67"/>
      <c r="BT521" s="67"/>
      <c r="BU521" s="67"/>
    </row>
    <row r="522" spans="15:73" x14ac:dyDescent="0.2"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/>
      <c r="AE522" s="67"/>
      <c r="AF522" s="67"/>
      <c r="AG522" s="67"/>
      <c r="AH522" s="67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  <c r="AS522" s="67"/>
      <c r="AT522" s="67"/>
      <c r="AU522" s="67"/>
      <c r="AV522" s="67"/>
      <c r="AW522" s="67"/>
      <c r="AX522" s="67"/>
      <c r="AY522" s="67"/>
      <c r="AZ522" s="67"/>
      <c r="BA522" s="67"/>
      <c r="BB522" s="67"/>
      <c r="BC522" s="67"/>
      <c r="BD522" s="67"/>
      <c r="BE522" s="67"/>
      <c r="BF522" s="67"/>
      <c r="BG522" s="67"/>
      <c r="BH522" s="67"/>
      <c r="BI522" s="67"/>
      <c r="BJ522" s="67"/>
      <c r="BK522" s="67"/>
      <c r="BL522" s="67"/>
      <c r="BM522" s="67"/>
      <c r="BN522" s="67"/>
      <c r="BO522" s="67"/>
      <c r="BP522" s="67"/>
      <c r="BQ522" s="67"/>
      <c r="BR522" s="67"/>
      <c r="BS522" s="67"/>
      <c r="BT522" s="67"/>
      <c r="BU522" s="67"/>
    </row>
    <row r="523" spans="15:73" x14ac:dyDescent="0.2"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  <c r="AS523" s="67"/>
      <c r="AT523" s="67"/>
      <c r="AU523" s="67"/>
      <c r="AV523" s="67"/>
      <c r="AW523" s="67"/>
      <c r="AX523" s="67"/>
      <c r="AY523" s="67"/>
      <c r="AZ523" s="67"/>
      <c r="BA523" s="67"/>
      <c r="BB523" s="67"/>
      <c r="BC523" s="67"/>
      <c r="BD523" s="67"/>
      <c r="BE523" s="67"/>
      <c r="BF523" s="67"/>
      <c r="BG523" s="67"/>
      <c r="BH523" s="67"/>
      <c r="BI523" s="67"/>
      <c r="BJ523" s="67"/>
      <c r="BK523" s="67"/>
      <c r="BL523" s="67"/>
      <c r="BM523" s="67"/>
      <c r="BN523" s="67"/>
      <c r="BO523" s="67"/>
      <c r="BP523" s="67"/>
      <c r="BQ523" s="67"/>
      <c r="BR523" s="67"/>
      <c r="BS523" s="67"/>
      <c r="BT523" s="67"/>
      <c r="BU523" s="67"/>
    </row>
    <row r="524" spans="15:73" x14ac:dyDescent="0.2"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  <c r="AE524" s="67"/>
      <c r="AF524" s="67"/>
      <c r="AG524" s="67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  <c r="AS524" s="67"/>
      <c r="AT524" s="67"/>
      <c r="AU524" s="67"/>
      <c r="AV524" s="67"/>
      <c r="AW524" s="67"/>
      <c r="AX524" s="67"/>
      <c r="AY524" s="67"/>
      <c r="AZ524" s="67"/>
      <c r="BA524" s="67"/>
      <c r="BB524" s="67"/>
      <c r="BC524" s="67"/>
      <c r="BD524" s="67"/>
      <c r="BE524" s="67"/>
      <c r="BF524" s="67"/>
      <c r="BG524" s="67"/>
      <c r="BH524" s="67"/>
      <c r="BI524" s="67"/>
      <c r="BJ524" s="67"/>
      <c r="BK524" s="67"/>
      <c r="BL524" s="67"/>
      <c r="BM524" s="67"/>
      <c r="BN524" s="67"/>
      <c r="BO524" s="67"/>
      <c r="BP524" s="67"/>
      <c r="BQ524" s="67"/>
      <c r="BR524" s="67"/>
      <c r="BS524" s="67"/>
      <c r="BT524" s="67"/>
      <c r="BU524" s="67"/>
    </row>
    <row r="525" spans="15:73" x14ac:dyDescent="0.2"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  <c r="AS525" s="67"/>
      <c r="AT525" s="67"/>
      <c r="AU525" s="67"/>
      <c r="AV525" s="67"/>
      <c r="AW525" s="67"/>
      <c r="AX525" s="67"/>
      <c r="AY525" s="67"/>
      <c r="AZ525" s="67"/>
      <c r="BA525" s="67"/>
      <c r="BB525" s="67"/>
      <c r="BC525" s="67"/>
      <c r="BD525" s="67"/>
      <c r="BE525" s="67"/>
      <c r="BF525" s="67"/>
      <c r="BG525" s="67"/>
      <c r="BH525" s="67"/>
      <c r="BI525" s="67"/>
      <c r="BJ525" s="67"/>
      <c r="BK525" s="67"/>
      <c r="BL525" s="67"/>
      <c r="BM525" s="67"/>
      <c r="BN525" s="67"/>
      <c r="BO525" s="67"/>
      <c r="BP525" s="67"/>
      <c r="BQ525" s="67"/>
      <c r="BR525" s="67"/>
      <c r="BS525" s="67"/>
      <c r="BT525" s="67"/>
      <c r="BU525" s="67"/>
    </row>
    <row r="526" spans="15:73" x14ac:dyDescent="0.2"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/>
      <c r="AE526" s="67"/>
      <c r="AF526" s="67"/>
      <c r="AG526" s="67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  <c r="AS526" s="67"/>
      <c r="AT526" s="67"/>
      <c r="AU526" s="67"/>
      <c r="AV526" s="67"/>
      <c r="AW526" s="67"/>
      <c r="AX526" s="67"/>
      <c r="AY526" s="67"/>
      <c r="AZ526" s="67"/>
      <c r="BA526" s="67"/>
      <c r="BB526" s="67"/>
      <c r="BC526" s="67"/>
      <c r="BD526" s="67"/>
      <c r="BE526" s="67"/>
      <c r="BF526" s="67"/>
      <c r="BG526" s="67"/>
      <c r="BH526" s="67"/>
      <c r="BI526" s="67"/>
      <c r="BJ526" s="67"/>
      <c r="BK526" s="67"/>
      <c r="BL526" s="67"/>
      <c r="BM526" s="67"/>
      <c r="BN526" s="67"/>
      <c r="BO526" s="67"/>
      <c r="BP526" s="67"/>
      <c r="BQ526" s="67"/>
      <c r="BR526" s="67"/>
      <c r="BS526" s="67"/>
      <c r="BT526" s="67"/>
      <c r="BU526" s="67"/>
    </row>
    <row r="527" spans="15:73" x14ac:dyDescent="0.2"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/>
      <c r="AE527" s="67"/>
      <c r="AF527" s="67"/>
      <c r="AG527" s="67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  <c r="AS527" s="67"/>
      <c r="AT527" s="67"/>
      <c r="AU527" s="67"/>
      <c r="AV527" s="67"/>
      <c r="AW527" s="67"/>
      <c r="AX527" s="67"/>
      <c r="AY527" s="67"/>
      <c r="AZ527" s="67"/>
      <c r="BA527" s="67"/>
      <c r="BB527" s="67"/>
      <c r="BC527" s="67"/>
      <c r="BD527" s="67"/>
      <c r="BE527" s="67"/>
      <c r="BF527" s="67"/>
      <c r="BG527" s="67"/>
      <c r="BH527" s="67"/>
      <c r="BI527" s="67"/>
      <c r="BJ527" s="67"/>
      <c r="BK527" s="67"/>
      <c r="BL527" s="67"/>
      <c r="BM527" s="67"/>
      <c r="BN527" s="67"/>
      <c r="BO527" s="67"/>
      <c r="BP527" s="67"/>
      <c r="BQ527" s="67"/>
      <c r="BR527" s="67"/>
      <c r="BS527" s="67"/>
      <c r="BT527" s="67"/>
      <c r="BU527" s="67"/>
    </row>
    <row r="528" spans="15:73" x14ac:dyDescent="0.2"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/>
      <c r="AE528" s="67"/>
      <c r="AF528" s="67"/>
      <c r="AG528" s="67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  <c r="AS528" s="67"/>
      <c r="AT528" s="67"/>
      <c r="AU528" s="67"/>
      <c r="AV528" s="67"/>
      <c r="AW528" s="67"/>
      <c r="AX528" s="67"/>
      <c r="AY528" s="67"/>
      <c r="AZ528" s="67"/>
      <c r="BA528" s="67"/>
      <c r="BB528" s="67"/>
      <c r="BC528" s="67"/>
      <c r="BD528" s="67"/>
      <c r="BE528" s="67"/>
      <c r="BF528" s="67"/>
      <c r="BG528" s="67"/>
      <c r="BH528" s="67"/>
      <c r="BI528" s="67"/>
      <c r="BJ528" s="67"/>
      <c r="BK528" s="67"/>
      <c r="BL528" s="67"/>
      <c r="BM528" s="67"/>
      <c r="BN528" s="67"/>
      <c r="BO528" s="67"/>
      <c r="BP528" s="67"/>
      <c r="BQ528" s="67"/>
      <c r="BR528" s="67"/>
      <c r="BS528" s="67"/>
      <c r="BT528" s="67"/>
      <c r="BU528" s="67"/>
    </row>
    <row r="529" spans="15:73" x14ac:dyDescent="0.2"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/>
      <c r="AE529" s="67"/>
      <c r="AF529" s="67"/>
      <c r="AG529" s="67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  <c r="AS529" s="67"/>
      <c r="AT529" s="67"/>
      <c r="AU529" s="67"/>
      <c r="AV529" s="67"/>
      <c r="AW529" s="67"/>
      <c r="AX529" s="67"/>
      <c r="AY529" s="67"/>
      <c r="AZ529" s="67"/>
      <c r="BA529" s="67"/>
      <c r="BB529" s="67"/>
      <c r="BC529" s="67"/>
      <c r="BD529" s="67"/>
      <c r="BE529" s="67"/>
      <c r="BF529" s="67"/>
      <c r="BG529" s="67"/>
      <c r="BH529" s="67"/>
      <c r="BI529" s="67"/>
      <c r="BJ529" s="67"/>
      <c r="BK529" s="67"/>
      <c r="BL529" s="67"/>
      <c r="BM529" s="67"/>
      <c r="BN529" s="67"/>
      <c r="BO529" s="67"/>
      <c r="BP529" s="67"/>
      <c r="BQ529" s="67"/>
      <c r="BR529" s="67"/>
      <c r="BS529" s="67"/>
      <c r="BT529" s="67"/>
      <c r="BU529" s="67"/>
    </row>
    <row r="530" spans="15:73" x14ac:dyDescent="0.2"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/>
      <c r="AE530" s="67"/>
      <c r="AF530" s="67"/>
      <c r="AG530" s="67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  <c r="AS530" s="67"/>
      <c r="AT530" s="67"/>
      <c r="AU530" s="67"/>
      <c r="AV530" s="67"/>
      <c r="AW530" s="67"/>
      <c r="AX530" s="67"/>
      <c r="AY530" s="67"/>
      <c r="AZ530" s="67"/>
      <c r="BA530" s="67"/>
      <c r="BB530" s="67"/>
      <c r="BC530" s="67"/>
      <c r="BD530" s="67"/>
      <c r="BE530" s="67"/>
      <c r="BF530" s="67"/>
      <c r="BG530" s="67"/>
      <c r="BH530" s="67"/>
      <c r="BI530" s="67"/>
      <c r="BJ530" s="67"/>
      <c r="BK530" s="67"/>
      <c r="BL530" s="67"/>
      <c r="BM530" s="67"/>
      <c r="BN530" s="67"/>
      <c r="BO530" s="67"/>
      <c r="BP530" s="67"/>
      <c r="BQ530" s="67"/>
      <c r="BR530" s="67"/>
      <c r="BS530" s="67"/>
      <c r="BT530" s="67"/>
      <c r="BU530" s="67"/>
    </row>
    <row r="531" spans="15:73" x14ac:dyDescent="0.2"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/>
      <c r="AE531" s="67"/>
      <c r="AF531" s="67"/>
      <c r="AG531" s="67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  <c r="AS531" s="67"/>
      <c r="AT531" s="67"/>
      <c r="AU531" s="67"/>
      <c r="AV531" s="67"/>
      <c r="AW531" s="67"/>
      <c r="AX531" s="67"/>
      <c r="AY531" s="67"/>
      <c r="AZ531" s="67"/>
      <c r="BA531" s="67"/>
      <c r="BB531" s="67"/>
      <c r="BC531" s="67"/>
      <c r="BD531" s="67"/>
      <c r="BE531" s="67"/>
      <c r="BF531" s="67"/>
      <c r="BG531" s="67"/>
      <c r="BH531" s="67"/>
      <c r="BI531" s="67"/>
      <c r="BJ531" s="67"/>
      <c r="BK531" s="67"/>
      <c r="BL531" s="67"/>
      <c r="BM531" s="67"/>
      <c r="BN531" s="67"/>
      <c r="BO531" s="67"/>
      <c r="BP531" s="67"/>
      <c r="BQ531" s="67"/>
      <c r="BR531" s="67"/>
      <c r="BS531" s="67"/>
      <c r="BT531" s="67"/>
      <c r="BU531" s="67"/>
    </row>
    <row r="532" spans="15:73" x14ac:dyDescent="0.2"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/>
      <c r="AE532" s="67"/>
      <c r="AF532" s="67"/>
      <c r="AG532" s="67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  <c r="AS532" s="67"/>
      <c r="AT532" s="67"/>
      <c r="AU532" s="67"/>
      <c r="AV532" s="67"/>
      <c r="AW532" s="67"/>
      <c r="AX532" s="67"/>
      <c r="AY532" s="67"/>
      <c r="AZ532" s="67"/>
      <c r="BA532" s="67"/>
      <c r="BB532" s="67"/>
      <c r="BC532" s="67"/>
      <c r="BD532" s="67"/>
      <c r="BE532" s="67"/>
      <c r="BF532" s="67"/>
      <c r="BG532" s="67"/>
      <c r="BH532" s="67"/>
      <c r="BI532" s="67"/>
      <c r="BJ532" s="67"/>
      <c r="BK532" s="67"/>
      <c r="BL532" s="67"/>
      <c r="BM532" s="67"/>
      <c r="BN532" s="67"/>
      <c r="BO532" s="67"/>
      <c r="BP532" s="67"/>
      <c r="BQ532" s="67"/>
      <c r="BR532" s="67"/>
      <c r="BS532" s="67"/>
      <c r="BT532" s="67"/>
      <c r="BU532" s="67"/>
    </row>
    <row r="533" spans="15:73" x14ac:dyDescent="0.2"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/>
      <c r="AE533" s="67"/>
      <c r="AF533" s="67"/>
      <c r="AG533" s="67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  <c r="AS533" s="67"/>
      <c r="AT533" s="67"/>
      <c r="AU533" s="67"/>
      <c r="AV533" s="67"/>
      <c r="AW533" s="67"/>
      <c r="AX533" s="67"/>
      <c r="AY533" s="67"/>
      <c r="AZ533" s="67"/>
      <c r="BA533" s="67"/>
      <c r="BB533" s="67"/>
      <c r="BC533" s="67"/>
      <c r="BD533" s="67"/>
      <c r="BE533" s="67"/>
      <c r="BF533" s="67"/>
      <c r="BG533" s="67"/>
      <c r="BH533" s="67"/>
      <c r="BI533" s="67"/>
      <c r="BJ533" s="67"/>
      <c r="BK533" s="67"/>
      <c r="BL533" s="67"/>
      <c r="BM533" s="67"/>
      <c r="BN533" s="67"/>
      <c r="BO533" s="67"/>
      <c r="BP533" s="67"/>
      <c r="BQ533" s="67"/>
      <c r="BR533" s="67"/>
      <c r="BS533" s="67"/>
      <c r="BT533" s="67"/>
      <c r="BU533" s="67"/>
    </row>
    <row r="534" spans="15:73" x14ac:dyDescent="0.2"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/>
      <c r="AE534" s="67"/>
      <c r="AF534" s="67"/>
      <c r="AG534" s="67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  <c r="AS534" s="67"/>
      <c r="AT534" s="67"/>
      <c r="AU534" s="67"/>
      <c r="AV534" s="67"/>
      <c r="AW534" s="67"/>
      <c r="AX534" s="67"/>
      <c r="AY534" s="67"/>
      <c r="AZ534" s="67"/>
      <c r="BA534" s="67"/>
      <c r="BB534" s="67"/>
      <c r="BC534" s="67"/>
      <c r="BD534" s="67"/>
      <c r="BE534" s="67"/>
      <c r="BF534" s="67"/>
      <c r="BG534" s="67"/>
      <c r="BH534" s="67"/>
      <c r="BI534" s="67"/>
      <c r="BJ534" s="67"/>
      <c r="BK534" s="67"/>
      <c r="BL534" s="67"/>
      <c r="BM534" s="67"/>
      <c r="BN534" s="67"/>
      <c r="BO534" s="67"/>
      <c r="BP534" s="67"/>
      <c r="BQ534" s="67"/>
      <c r="BR534" s="67"/>
      <c r="BS534" s="67"/>
      <c r="BT534" s="67"/>
      <c r="BU534" s="67"/>
    </row>
    <row r="535" spans="15:73" x14ac:dyDescent="0.2"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/>
      <c r="AE535" s="67"/>
      <c r="AF535" s="67"/>
      <c r="AG535" s="67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  <c r="AS535" s="67"/>
      <c r="AT535" s="67"/>
      <c r="AU535" s="67"/>
      <c r="AV535" s="67"/>
      <c r="AW535" s="67"/>
      <c r="AX535" s="67"/>
      <c r="AY535" s="67"/>
      <c r="AZ535" s="67"/>
      <c r="BA535" s="67"/>
      <c r="BB535" s="67"/>
      <c r="BC535" s="67"/>
      <c r="BD535" s="67"/>
      <c r="BE535" s="67"/>
      <c r="BF535" s="67"/>
      <c r="BG535" s="67"/>
      <c r="BH535" s="67"/>
      <c r="BI535" s="67"/>
      <c r="BJ535" s="67"/>
      <c r="BK535" s="67"/>
      <c r="BL535" s="67"/>
      <c r="BM535" s="67"/>
      <c r="BN535" s="67"/>
      <c r="BO535" s="67"/>
      <c r="BP535" s="67"/>
      <c r="BQ535" s="67"/>
      <c r="BR535" s="67"/>
      <c r="BS535" s="67"/>
      <c r="BT535" s="67"/>
      <c r="BU535" s="67"/>
    </row>
    <row r="536" spans="15:73" x14ac:dyDescent="0.2"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/>
      <c r="AE536" s="67"/>
      <c r="AF536" s="67"/>
      <c r="AG536" s="67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  <c r="AS536" s="67"/>
      <c r="AT536" s="67"/>
      <c r="AU536" s="67"/>
      <c r="AV536" s="67"/>
      <c r="AW536" s="67"/>
      <c r="AX536" s="67"/>
      <c r="AY536" s="67"/>
      <c r="AZ536" s="67"/>
      <c r="BA536" s="67"/>
      <c r="BB536" s="67"/>
      <c r="BC536" s="67"/>
      <c r="BD536" s="67"/>
      <c r="BE536" s="67"/>
      <c r="BF536" s="67"/>
      <c r="BG536" s="67"/>
      <c r="BH536" s="67"/>
      <c r="BI536" s="67"/>
      <c r="BJ536" s="67"/>
      <c r="BK536" s="67"/>
      <c r="BL536" s="67"/>
      <c r="BM536" s="67"/>
      <c r="BN536" s="67"/>
      <c r="BO536" s="67"/>
      <c r="BP536" s="67"/>
      <c r="BQ536" s="67"/>
      <c r="BR536" s="67"/>
      <c r="BS536" s="67"/>
      <c r="BT536" s="67"/>
      <c r="BU536" s="67"/>
    </row>
    <row r="537" spans="15:73" x14ac:dyDescent="0.2"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  <c r="AT537" s="67"/>
      <c r="AU537" s="67"/>
      <c r="AV537" s="67"/>
      <c r="AW537" s="67"/>
      <c r="AX537" s="67"/>
      <c r="AY537" s="67"/>
      <c r="AZ537" s="67"/>
      <c r="BA537" s="67"/>
      <c r="BB537" s="67"/>
      <c r="BC537" s="67"/>
      <c r="BD537" s="67"/>
      <c r="BE537" s="67"/>
      <c r="BF537" s="67"/>
      <c r="BG537" s="67"/>
      <c r="BH537" s="67"/>
      <c r="BI537" s="67"/>
      <c r="BJ537" s="67"/>
      <c r="BK537" s="67"/>
      <c r="BL537" s="67"/>
      <c r="BM537" s="67"/>
      <c r="BN537" s="67"/>
      <c r="BO537" s="67"/>
      <c r="BP537" s="67"/>
      <c r="BQ537" s="67"/>
      <c r="BR537" s="67"/>
      <c r="BS537" s="67"/>
      <c r="BT537" s="67"/>
      <c r="BU537" s="67"/>
    </row>
    <row r="538" spans="15:73" x14ac:dyDescent="0.2"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/>
      <c r="AE538" s="67"/>
      <c r="AF538" s="67"/>
      <c r="AG538" s="67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  <c r="AS538" s="67"/>
      <c r="AT538" s="67"/>
      <c r="AU538" s="67"/>
      <c r="AV538" s="67"/>
      <c r="AW538" s="67"/>
      <c r="AX538" s="67"/>
      <c r="AY538" s="67"/>
      <c r="AZ538" s="67"/>
      <c r="BA538" s="67"/>
      <c r="BB538" s="67"/>
      <c r="BC538" s="67"/>
      <c r="BD538" s="67"/>
      <c r="BE538" s="67"/>
      <c r="BF538" s="67"/>
      <c r="BG538" s="67"/>
      <c r="BH538" s="67"/>
      <c r="BI538" s="67"/>
      <c r="BJ538" s="67"/>
      <c r="BK538" s="67"/>
      <c r="BL538" s="67"/>
      <c r="BM538" s="67"/>
      <c r="BN538" s="67"/>
      <c r="BO538" s="67"/>
      <c r="BP538" s="67"/>
      <c r="BQ538" s="67"/>
      <c r="BR538" s="67"/>
      <c r="BS538" s="67"/>
      <c r="BT538" s="67"/>
      <c r="BU538" s="67"/>
    </row>
    <row r="539" spans="15:73" x14ac:dyDescent="0.2"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7"/>
      <c r="AD539" s="67"/>
      <c r="AE539" s="67"/>
      <c r="AF539" s="67"/>
      <c r="AG539" s="67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  <c r="AS539" s="67"/>
      <c r="AT539" s="67"/>
      <c r="AU539" s="67"/>
      <c r="AV539" s="67"/>
      <c r="AW539" s="67"/>
      <c r="AX539" s="67"/>
      <c r="AY539" s="67"/>
      <c r="AZ539" s="67"/>
      <c r="BA539" s="67"/>
      <c r="BB539" s="67"/>
      <c r="BC539" s="67"/>
      <c r="BD539" s="67"/>
      <c r="BE539" s="67"/>
      <c r="BF539" s="67"/>
      <c r="BG539" s="67"/>
      <c r="BH539" s="67"/>
      <c r="BI539" s="67"/>
      <c r="BJ539" s="67"/>
      <c r="BK539" s="67"/>
      <c r="BL539" s="67"/>
      <c r="BM539" s="67"/>
      <c r="BN539" s="67"/>
      <c r="BO539" s="67"/>
      <c r="BP539" s="67"/>
      <c r="BQ539" s="67"/>
      <c r="BR539" s="67"/>
      <c r="BS539" s="67"/>
      <c r="BT539" s="67"/>
      <c r="BU539" s="67"/>
    </row>
    <row r="540" spans="15:73" x14ac:dyDescent="0.2"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/>
      <c r="AE540" s="67"/>
      <c r="AF540" s="67"/>
      <c r="AG540" s="67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  <c r="AS540" s="67"/>
      <c r="AT540" s="67"/>
      <c r="AU540" s="67"/>
      <c r="AV540" s="67"/>
      <c r="AW540" s="67"/>
      <c r="AX540" s="67"/>
      <c r="AY540" s="67"/>
      <c r="AZ540" s="67"/>
      <c r="BA540" s="67"/>
      <c r="BB540" s="67"/>
      <c r="BC540" s="67"/>
      <c r="BD540" s="67"/>
      <c r="BE540" s="67"/>
      <c r="BF540" s="67"/>
      <c r="BG540" s="67"/>
      <c r="BH540" s="67"/>
      <c r="BI540" s="67"/>
      <c r="BJ540" s="67"/>
      <c r="BK540" s="67"/>
      <c r="BL540" s="67"/>
      <c r="BM540" s="67"/>
      <c r="BN540" s="67"/>
      <c r="BO540" s="67"/>
      <c r="BP540" s="67"/>
      <c r="BQ540" s="67"/>
      <c r="BR540" s="67"/>
      <c r="BS540" s="67"/>
      <c r="BT540" s="67"/>
      <c r="BU540" s="67"/>
    </row>
    <row r="541" spans="15:73" x14ac:dyDescent="0.2"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  <c r="AT541" s="67"/>
      <c r="AU541" s="67"/>
      <c r="AV541" s="67"/>
      <c r="AW541" s="67"/>
      <c r="AX541" s="67"/>
      <c r="AY541" s="67"/>
      <c r="AZ541" s="67"/>
      <c r="BA541" s="67"/>
      <c r="BB541" s="67"/>
      <c r="BC541" s="67"/>
      <c r="BD541" s="67"/>
      <c r="BE541" s="67"/>
      <c r="BF541" s="67"/>
      <c r="BG541" s="67"/>
      <c r="BH541" s="67"/>
      <c r="BI541" s="67"/>
      <c r="BJ541" s="67"/>
      <c r="BK541" s="67"/>
      <c r="BL541" s="67"/>
      <c r="BM541" s="67"/>
      <c r="BN541" s="67"/>
      <c r="BO541" s="67"/>
      <c r="BP541" s="67"/>
      <c r="BQ541" s="67"/>
      <c r="BR541" s="67"/>
      <c r="BS541" s="67"/>
      <c r="BT541" s="67"/>
      <c r="BU541" s="67"/>
    </row>
    <row r="542" spans="15:73" x14ac:dyDescent="0.2"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/>
      <c r="AE542" s="67"/>
      <c r="AF542" s="67"/>
      <c r="AG542" s="67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  <c r="AS542" s="67"/>
      <c r="AT542" s="67"/>
      <c r="AU542" s="67"/>
      <c r="AV542" s="67"/>
      <c r="AW542" s="67"/>
      <c r="AX542" s="67"/>
      <c r="AY542" s="67"/>
      <c r="AZ542" s="67"/>
      <c r="BA542" s="67"/>
      <c r="BB542" s="67"/>
      <c r="BC542" s="67"/>
      <c r="BD542" s="67"/>
      <c r="BE542" s="67"/>
      <c r="BF542" s="67"/>
      <c r="BG542" s="67"/>
      <c r="BH542" s="67"/>
      <c r="BI542" s="67"/>
      <c r="BJ542" s="67"/>
      <c r="BK542" s="67"/>
      <c r="BL542" s="67"/>
      <c r="BM542" s="67"/>
      <c r="BN542" s="67"/>
      <c r="BO542" s="67"/>
      <c r="BP542" s="67"/>
      <c r="BQ542" s="67"/>
      <c r="BR542" s="67"/>
      <c r="BS542" s="67"/>
      <c r="BT542" s="67"/>
      <c r="BU542" s="67"/>
    </row>
    <row r="543" spans="15:73" x14ac:dyDescent="0.2"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  <c r="AS543" s="67"/>
      <c r="AT543" s="67"/>
      <c r="AU543" s="67"/>
      <c r="AV543" s="67"/>
      <c r="AW543" s="67"/>
      <c r="AX543" s="67"/>
      <c r="AY543" s="67"/>
      <c r="AZ543" s="67"/>
      <c r="BA543" s="67"/>
      <c r="BB543" s="67"/>
      <c r="BC543" s="67"/>
      <c r="BD543" s="67"/>
      <c r="BE543" s="67"/>
      <c r="BF543" s="67"/>
      <c r="BG543" s="67"/>
      <c r="BH543" s="67"/>
      <c r="BI543" s="67"/>
      <c r="BJ543" s="67"/>
      <c r="BK543" s="67"/>
      <c r="BL543" s="67"/>
      <c r="BM543" s="67"/>
      <c r="BN543" s="67"/>
      <c r="BO543" s="67"/>
      <c r="BP543" s="67"/>
      <c r="BQ543" s="67"/>
      <c r="BR543" s="67"/>
      <c r="BS543" s="67"/>
      <c r="BT543" s="67"/>
      <c r="BU543" s="67"/>
    </row>
    <row r="544" spans="15:73" x14ac:dyDescent="0.2"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/>
      <c r="AE544" s="67"/>
      <c r="AF544" s="67"/>
      <c r="AG544" s="67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  <c r="AS544" s="67"/>
      <c r="AT544" s="67"/>
      <c r="AU544" s="67"/>
      <c r="AV544" s="67"/>
      <c r="AW544" s="67"/>
      <c r="AX544" s="67"/>
      <c r="AY544" s="67"/>
      <c r="AZ544" s="67"/>
      <c r="BA544" s="67"/>
      <c r="BB544" s="67"/>
      <c r="BC544" s="67"/>
      <c r="BD544" s="67"/>
      <c r="BE544" s="67"/>
      <c r="BF544" s="67"/>
      <c r="BG544" s="67"/>
      <c r="BH544" s="67"/>
      <c r="BI544" s="67"/>
      <c r="BJ544" s="67"/>
      <c r="BK544" s="67"/>
      <c r="BL544" s="67"/>
      <c r="BM544" s="67"/>
      <c r="BN544" s="67"/>
      <c r="BO544" s="67"/>
      <c r="BP544" s="67"/>
      <c r="BQ544" s="67"/>
      <c r="BR544" s="67"/>
      <c r="BS544" s="67"/>
      <c r="BT544" s="67"/>
      <c r="BU544" s="67"/>
    </row>
    <row r="545" spans="15:73" x14ac:dyDescent="0.2"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/>
      <c r="AE545" s="67"/>
      <c r="AF545" s="67"/>
      <c r="AG545" s="67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  <c r="AS545" s="67"/>
      <c r="AT545" s="67"/>
      <c r="AU545" s="67"/>
      <c r="AV545" s="67"/>
      <c r="AW545" s="67"/>
      <c r="AX545" s="67"/>
      <c r="AY545" s="67"/>
      <c r="AZ545" s="67"/>
      <c r="BA545" s="67"/>
      <c r="BB545" s="67"/>
      <c r="BC545" s="67"/>
      <c r="BD545" s="67"/>
      <c r="BE545" s="67"/>
      <c r="BF545" s="67"/>
      <c r="BG545" s="67"/>
      <c r="BH545" s="67"/>
      <c r="BI545" s="67"/>
      <c r="BJ545" s="67"/>
      <c r="BK545" s="67"/>
      <c r="BL545" s="67"/>
      <c r="BM545" s="67"/>
      <c r="BN545" s="67"/>
      <c r="BO545" s="67"/>
      <c r="BP545" s="67"/>
      <c r="BQ545" s="67"/>
      <c r="BR545" s="67"/>
      <c r="BS545" s="67"/>
      <c r="BT545" s="67"/>
      <c r="BU545" s="67"/>
    </row>
    <row r="546" spans="15:73" x14ac:dyDescent="0.2"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  <c r="AT546" s="67"/>
      <c r="AU546" s="67"/>
      <c r="AV546" s="67"/>
      <c r="AW546" s="67"/>
      <c r="AX546" s="67"/>
      <c r="AY546" s="67"/>
      <c r="AZ546" s="67"/>
      <c r="BA546" s="67"/>
      <c r="BB546" s="67"/>
      <c r="BC546" s="67"/>
      <c r="BD546" s="67"/>
      <c r="BE546" s="67"/>
      <c r="BF546" s="67"/>
      <c r="BG546" s="67"/>
      <c r="BH546" s="67"/>
      <c r="BI546" s="67"/>
      <c r="BJ546" s="67"/>
      <c r="BK546" s="67"/>
      <c r="BL546" s="67"/>
      <c r="BM546" s="67"/>
      <c r="BN546" s="67"/>
      <c r="BO546" s="67"/>
      <c r="BP546" s="67"/>
      <c r="BQ546" s="67"/>
      <c r="BR546" s="67"/>
      <c r="BS546" s="67"/>
      <c r="BT546" s="67"/>
      <c r="BU546" s="67"/>
    </row>
    <row r="547" spans="15:73" x14ac:dyDescent="0.2"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7"/>
      <c r="AD547" s="67"/>
      <c r="AE547" s="67"/>
      <c r="AF547" s="67"/>
      <c r="AG547" s="67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  <c r="AS547" s="67"/>
      <c r="AT547" s="67"/>
      <c r="AU547" s="67"/>
      <c r="AV547" s="67"/>
      <c r="AW547" s="67"/>
      <c r="AX547" s="67"/>
      <c r="AY547" s="67"/>
      <c r="AZ547" s="67"/>
      <c r="BA547" s="67"/>
      <c r="BB547" s="67"/>
      <c r="BC547" s="67"/>
      <c r="BD547" s="67"/>
      <c r="BE547" s="67"/>
      <c r="BF547" s="67"/>
      <c r="BG547" s="67"/>
      <c r="BH547" s="67"/>
      <c r="BI547" s="67"/>
      <c r="BJ547" s="67"/>
      <c r="BK547" s="67"/>
      <c r="BL547" s="67"/>
      <c r="BM547" s="67"/>
      <c r="BN547" s="67"/>
      <c r="BO547" s="67"/>
      <c r="BP547" s="67"/>
      <c r="BQ547" s="67"/>
      <c r="BR547" s="67"/>
      <c r="BS547" s="67"/>
      <c r="BT547" s="67"/>
      <c r="BU547" s="67"/>
    </row>
  </sheetData>
  <dataConsolidate link="1"/>
  <phoneticPr fontId="11" type="noConversion"/>
  <pageMargins left="0.75" right="0.75" top="1" bottom="1" header="0.5" footer="0.5"/>
  <pageSetup scale="64" orientation="portrait" verticalDpi="300" r:id="rId1"/>
  <headerFooter alignWithMargins="0"/>
  <ignoredErrors>
    <ignoredError sqref="K15 K19 K23 K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44"/>
  <sheetViews>
    <sheetView showGridLines="0" zoomScaleNormal="100" workbookViewId="0"/>
  </sheetViews>
  <sheetFormatPr defaultRowHeight="12.75" x14ac:dyDescent="0.2"/>
  <cols>
    <col min="1" max="1" width="14.7109375" style="25" customWidth="1"/>
    <col min="2" max="2" width="12.28515625" style="25" bestFit="1" customWidth="1"/>
    <col min="3" max="3" width="11.7109375" style="25" bestFit="1" customWidth="1"/>
    <col min="4" max="4" width="8.7109375" style="25" bestFit="1" customWidth="1"/>
    <col min="5" max="5" width="11.5703125" style="25" bestFit="1" customWidth="1"/>
    <col min="6" max="6" width="1.7109375" style="25" customWidth="1"/>
    <col min="7" max="9" width="11.5703125" style="25" bestFit="1" customWidth="1"/>
    <col min="10" max="10" width="10.7109375" style="25" customWidth="1"/>
    <col min="11" max="16384" width="9.140625" style="25"/>
  </cols>
  <sheetData>
    <row r="1" spans="1:10" ht="14.25" x14ac:dyDescent="0.2">
      <c r="A1" s="24" t="s">
        <v>132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4.25" x14ac:dyDescent="0.2">
      <c r="A2" s="26"/>
      <c r="B2" s="165" t="s">
        <v>0</v>
      </c>
      <c r="C2" s="165"/>
      <c r="D2" s="165"/>
      <c r="E2" s="165"/>
      <c r="F2" s="30"/>
      <c r="G2" s="165" t="s">
        <v>17</v>
      </c>
      <c r="H2" s="165"/>
      <c r="I2" s="165"/>
      <c r="J2" s="26"/>
    </row>
    <row r="3" spans="1:10" ht="14.25" x14ac:dyDescent="0.2">
      <c r="A3" s="26" t="s">
        <v>61</v>
      </c>
      <c r="B3" s="28" t="s">
        <v>8</v>
      </c>
      <c r="C3" s="32"/>
      <c r="D3" s="32"/>
      <c r="E3" s="32"/>
      <c r="F3" s="32"/>
      <c r="G3" s="32"/>
      <c r="H3" s="32"/>
      <c r="I3" s="32"/>
      <c r="J3" s="28" t="s">
        <v>26</v>
      </c>
    </row>
    <row r="4" spans="1:10" ht="14.25" x14ac:dyDescent="0.2">
      <c r="A4" s="33" t="s">
        <v>62</v>
      </c>
      <c r="B4" s="35" t="s">
        <v>25</v>
      </c>
      <c r="C4" s="35" t="s">
        <v>1</v>
      </c>
      <c r="D4" s="35" t="s">
        <v>2</v>
      </c>
      <c r="E4" s="37" t="s">
        <v>24</v>
      </c>
      <c r="F4" s="36"/>
      <c r="G4" s="35" t="s">
        <v>27</v>
      </c>
      <c r="H4" s="35" t="s">
        <v>23</v>
      </c>
      <c r="I4" s="35" t="s">
        <v>24</v>
      </c>
      <c r="J4" s="35" t="s">
        <v>71</v>
      </c>
    </row>
    <row r="5" spans="1:10" ht="14.25" x14ac:dyDescent="0.2">
      <c r="A5" s="26"/>
      <c r="B5" s="166" t="s">
        <v>77</v>
      </c>
      <c r="C5" s="166"/>
      <c r="D5" s="166"/>
      <c r="E5" s="166"/>
      <c r="F5" s="166"/>
      <c r="G5" s="166"/>
      <c r="H5" s="166"/>
      <c r="I5" s="166"/>
      <c r="J5" s="166"/>
    </row>
    <row r="6" spans="1:10" ht="14.25" x14ac:dyDescent="0.2">
      <c r="A6" s="26" t="s">
        <v>114</v>
      </c>
      <c r="B6" s="71">
        <f>B11</f>
        <v>402.01499999999999</v>
      </c>
      <c r="C6" s="72">
        <f>C23</f>
        <v>51100.43</v>
      </c>
      <c r="D6" s="72">
        <f>D23</f>
        <v>639.45289700599983</v>
      </c>
      <c r="E6" s="44">
        <f>E23</f>
        <v>52141.897897005998</v>
      </c>
      <c r="F6" s="72"/>
      <c r="G6" s="72">
        <f>G23</f>
        <v>37966.877728954991</v>
      </c>
      <c r="H6" s="72">
        <f>H23</f>
        <v>13833.684168051001</v>
      </c>
      <c r="I6" s="72">
        <f>I23</f>
        <v>51800.561897005995</v>
      </c>
      <c r="J6" s="72">
        <f>E6-I6</f>
        <v>341.33600000000297</v>
      </c>
    </row>
    <row r="7" spans="1:10" ht="16.5" x14ac:dyDescent="0.2">
      <c r="A7" s="26" t="s">
        <v>117</v>
      </c>
      <c r="B7" s="71">
        <f>J6</f>
        <v>341.33600000000297</v>
      </c>
      <c r="C7" s="72">
        <v>50603.663999999997</v>
      </c>
      <c r="D7" s="72">
        <v>805</v>
      </c>
      <c r="E7" s="44">
        <f>SUM(B7:D7)</f>
        <v>51750</v>
      </c>
      <c r="F7" s="72"/>
      <c r="G7" s="72">
        <f>I7-H7</f>
        <v>37450</v>
      </c>
      <c r="H7" s="72">
        <v>13900</v>
      </c>
      <c r="I7" s="72">
        <f>E7-J7</f>
        <v>51350</v>
      </c>
      <c r="J7" s="72">
        <v>400</v>
      </c>
    </row>
    <row r="8" spans="1:10" ht="16.5" x14ac:dyDescent="0.2">
      <c r="A8" s="26" t="s">
        <v>147</v>
      </c>
      <c r="B8" s="71">
        <f>J7</f>
        <v>400</v>
      </c>
      <c r="C8" s="72">
        <v>51650</v>
      </c>
      <c r="D8" s="72">
        <v>450</v>
      </c>
      <c r="E8" s="44">
        <f>SUM(B8:D8)</f>
        <v>52500</v>
      </c>
      <c r="F8" s="72"/>
      <c r="G8" s="72">
        <f>I8-H8</f>
        <v>37900</v>
      </c>
      <c r="H8" s="72">
        <v>14200</v>
      </c>
      <c r="I8" s="72">
        <f>E8-J8</f>
        <v>52100</v>
      </c>
      <c r="J8" s="72">
        <v>400</v>
      </c>
    </row>
    <row r="9" spans="1:10" ht="14.25" x14ac:dyDescent="0.2">
      <c r="A9" s="26"/>
      <c r="B9" s="73"/>
      <c r="C9" s="73"/>
      <c r="D9" s="73"/>
      <c r="E9" s="73"/>
      <c r="F9" s="73"/>
      <c r="G9" s="72"/>
      <c r="H9" s="73"/>
      <c r="I9" s="73"/>
      <c r="J9" s="73"/>
    </row>
    <row r="10" spans="1:10" ht="15" x14ac:dyDescent="0.25">
      <c r="A10" s="74" t="s">
        <v>114</v>
      </c>
      <c r="B10" s="75"/>
      <c r="C10" s="12"/>
      <c r="D10" s="12"/>
      <c r="E10" s="12"/>
      <c r="F10" s="12"/>
      <c r="G10" s="12"/>
      <c r="H10" s="12"/>
      <c r="I10" s="12"/>
      <c r="J10" s="12"/>
    </row>
    <row r="11" spans="1:10" ht="14.25" x14ac:dyDescent="0.2">
      <c r="A11" s="30" t="s">
        <v>45</v>
      </c>
      <c r="B11" s="75">
        <f>360.387+41.628</f>
        <v>402.01499999999999</v>
      </c>
      <c r="C11" s="12">
        <v>4381.8320000000003</v>
      </c>
      <c r="D11" s="12">
        <f>(43274*1.10231)/1000</f>
        <v>47.701362939999996</v>
      </c>
      <c r="E11" s="12">
        <f>SUM(B11:D11)</f>
        <v>4831.5483629400005</v>
      </c>
      <c r="F11" s="10"/>
      <c r="G11" s="9">
        <f t="shared" ref="G11:G22" si="0">I11-H11</f>
        <v>3335.8568790440004</v>
      </c>
      <c r="H11" s="12">
        <f>(1025421.6*1.10231)/1000</f>
        <v>1130.3324838959998</v>
      </c>
      <c r="I11" s="10">
        <f t="shared" ref="I11:I22" si="1">E11-J11</f>
        <v>4466.1893629400001</v>
      </c>
      <c r="J11" s="10">
        <v>365.35899999999998</v>
      </c>
    </row>
    <row r="12" spans="1:10" ht="14.25" x14ac:dyDescent="0.2">
      <c r="A12" s="30" t="s">
        <v>46</v>
      </c>
      <c r="B12" s="75">
        <f t="shared" ref="B12:B22" si="2">J11</f>
        <v>365.35899999999998</v>
      </c>
      <c r="C12" s="12">
        <v>4111.7719999999999</v>
      </c>
      <c r="D12" s="12">
        <f>(33004.7*1.10231)/1000</f>
        <v>36.381410856999999</v>
      </c>
      <c r="E12" s="12">
        <f t="shared" ref="E12:E18" si="3">SUM(B12:D12)</f>
        <v>4513.5124108570008</v>
      </c>
      <c r="F12" s="12"/>
      <c r="G12" s="9">
        <f t="shared" si="0"/>
        <v>2808.0372888130009</v>
      </c>
      <c r="H12" s="12">
        <f>(1123152.4*1.10231)/1000</f>
        <v>1238.0621220439998</v>
      </c>
      <c r="I12" s="10">
        <f t="shared" si="1"/>
        <v>4046.0994108570007</v>
      </c>
      <c r="J12" s="10">
        <v>467.41300000000001</v>
      </c>
    </row>
    <row r="13" spans="1:10" ht="14.25" x14ac:dyDescent="0.2">
      <c r="A13" s="30" t="s">
        <v>47</v>
      </c>
      <c r="B13" s="75">
        <f t="shared" si="2"/>
        <v>467.41300000000001</v>
      </c>
      <c r="C13" s="12">
        <v>4337.5720000000001</v>
      </c>
      <c r="D13" s="12">
        <f>(47624.6*1.10231)/1000</f>
        <v>52.497072825999993</v>
      </c>
      <c r="E13" s="12">
        <f t="shared" si="3"/>
        <v>4857.4820728260001</v>
      </c>
      <c r="F13" s="12"/>
      <c r="G13" s="9">
        <f t="shared" si="0"/>
        <v>3394.591402043</v>
      </c>
      <c r="H13" s="12">
        <f>(985039.3*1.10231)/1000</f>
        <v>1085.818670783</v>
      </c>
      <c r="I13" s="10">
        <f t="shared" si="1"/>
        <v>4480.410072826</v>
      </c>
      <c r="J13" s="10">
        <v>377.072</v>
      </c>
    </row>
    <row r="14" spans="1:10" ht="14.25" x14ac:dyDescent="0.2">
      <c r="A14" s="30" t="s">
        <v>48</v>
      </c>
      <c r="B14" s="75">
        <f t="shared" si="2"/>
        <v>377.072</v>
      </c>
      <c r="C14" s="12">
        <v>4425.7489999999998</v>
      </c>
      <c r="D14" s="12">
        <f>(55344*1.10231)/1000</f>
        <v>61.006244639999998</v>
      </c>
      <c r="E14" s="12">
        <f t="shared" si="3"/>
        <v>4863.8272446399997</v>
      </c>
      <c r="F14" s="12"/>
      <c r="G14" s="9">
        <f t="shared" si="0"/>
        <v>3443.2361162819998</v>
      </c>
      <c r="H14" s="12">
        <f>(975821.8*1.10231)/1000</f>
        <v>1075.6581283579999</v>
      </c>
      <c r="I14" s="10">
        <f t="shared" si="1"/>
        <v>4518.8942446399997</v>
      </c>
      <c r="J14" s="10">
        <v>344.93299999999999</v>
      </c>
    </row>
    <row r="15" spans="1:10" ht="14.25" x14ac:dyDescent="0.2">
      <c r="A15" s="30" t="s">
        <v>49</v>
      </c>
      <c r="B15" s="75">
        <f t="shared" si="2"/>
        <v>344.93299999999999</v>
      </c>
      <c r="C15" s="12">
        <v>4122.6279999999997</v>
      </c>
      <c r="D15" s="12">
        <f>(45646.7*1.10231)/1000</f>
        <v>50.316813876999994</v>
      </c>
      <c r="E15" s="12">
        <f t="shared" si="3"/>
        <v>4517.8778138769994</v>
      </c>
      <c r="F15" s="12"/>
      <c r="G15" s="9">
        <f t="shared" si="0"/>
        <v>2732.7443837479996</v>
      </c>
      <c r="H15" s="12">
        <f>(1218155.9*1.10231)/1000</f>
        <v>1342.7854301289997</v>
      </c>
      <c r="I15" s="10">
        <f t="shared" si="1"/>
        <v>4075.5298138769995</v>
      </c>
      <c r="J15" s="10">
        <v>442.34800000000001</v>
      </c>
    </row>
    <row r="16" spans="1:10" ht="14.25" x14ac:dyDescent="0.2">
      <c r="A16" s="30" t="s">
        <v>50</v>
      </c>
      <c r="B16" s="75">
        <f t="shared" si="2"/>
        <v>442.34800000000001</v>
      </c>
      <c r="C16" s="12">
        <v>4517.9129999999996</v>
      </c>
      <c r="D16" s="12">
        <f>(57701.5*1.10231)/1000</f>
        <v>63.604940464999991</v>
      </c>
      <c r="E16" s="12">
        <f t="shared" si="3"/>
        <v>5023.8659404649998</v>
      </c>
      <c r="F16" s="12"/>
      <c r="G16" s="9">
        <f t="shared" si="0"/>
        <v>3241.9729331999997</v>
      </c>
      <c r="H16" s="12">
        <f>(1239981.5*1.10231)/1000</f>
        <v>1366.8440072649998</v>
      </c>
      <c r="I16" s="10">
        <f t="shared" si="1"/>
        <v>4608.8169404649998</v>
      </c>
      <c r="J16" s="10">
        <v>415.04899999999998</v>
      </c>
    </row>
    <row r="17" spans="1:10" ht="14.25" x14ac:dyDescent="0.2">
      <c r="A17" s="30" t="s">
        <v>51</v>
      </c>
      <c r="B17" s="75">
        <f t="shared" si="2"/>
        <v>415.04899999999998</v>
      </c>
      <c r="C17" s="12">
        <v>4312.1769999999997</v>
      </c>
      <c r="D17" s="12">
        <f>(48315.4*1.10231)/1000</f>
        <v>53.258548574000002</v>
      </c>
      <c r="E17" s="12">
        <f t="shared" si="3"/>
        <v>4780.4845485739997</v>
      </c>
      <c r="F17" s="12"/>
      <c r="G17" s="9">
        <f t="shared" si="0"/>
        <v>3183.0079535909999</v>
      </c>
      <c r="H17" s="12">
        <f>(1098859.3*1.10231)/1000</f>
        <v>1211.2835949829998</v>
      </c>
      <c r="I17" s="10">
        <f t="shared" si="1"/>
        <v>4394.2915485739995</v>
      </c>
      <c r="J17" s="10">
        <v>386.19299999999998</v>
      </c>
    </row>
    <row r="18" spans="1:10" ht="14.25" x14ac:dyDescent="0.2">
      <c r="A18" s="30" t="s">
        <v>52</v>
      </c>
      <c r="B18" s="75">
        <f t="shared" si="2"/>
        <v>386.19299999999998</v>
      </c>
      <c r="C18" s="12">
        <v>4240.9799999999996</v>
      </c>
      <c r="D18" s="12">
        <f>(41067.2*1.10231)/1000</f>
        <v>45.268785231999992</v>
      </c>
      <c r="E18" s="12">
        <f t="shared" si="3"/>
        <v>4672.4417852319993</v>
      </c>
      <c r="F18" s="12"/>
      <c r="G18" s="9">
        <f t="shared" si="0"/>
        <v>3091.2519027089993</v>
      </c>
      <c r="H18" s="12">
        <f>(982793.3*1.10231)/1000</f>
        <v>1083.3428825230001</v>
      </c>
      <c r="I18" s="10">
        <f t="shared" si="1"/>
        <v>4174.5947852319996</v>
      </c>
      <c r="J18" s="10">
        <v>497.84699999999998</v>
      </c>
    </row>
    <row r="19" spans="1:10" ht="14.25" x14ac:dyDescent="0.2">
      <c r="A19" s="30" t="s">
        <v>53</v>
      </c>
      <c r="B19" s="75">
        <f t="shared" si="2"/>
        <v>497.84699999999998</v>
      </c>
      <c r="C19" s="12">
        <v>4167.4759999999997</v>
      </c>
      <c r="D19" s="12">
        <f>(36340.5*1.10231)/1000</f>
        <v>40.058496554999998</v>
      </c>
      <c r="E19" s="12">
        <f>SUM(B19:D19)</f>
        <v>4705.3814965549991</v>
      </c>
      <c r="F19" s="12"/>
      <c r="G19" s="9">
        <f t="shared" si="0"/>
        <v>3149.2991634139994</v>
      </c>
      <c r="H19" s="12">
        <f>(992261.1*1.10231)/1000</f>
        <v>1093.7793331409998</v>
      </c>
      <c r="I19" s="10">
        <f t="shared" si="1"/>
        <v>4243.0784965549992</v>
      </c>
      <c r="J19" s="10">
        <v>462.303</v>
      </c>
    </row>
    <row r="20" spans="1:10" ht="14.25" x14ac:dyDescent="0.2">
      <c r="A20" s="30" t="s">
        <v>55</v>
      </c>
      <c r="B20" s="75">
        <f t="shared" si="2"/>
        <v>462.303</v>
      </c>
      <c r="C20" s="12">
        <v>4361.17</v>
      </c>
      <c r="D20" s="12">
        <f>(52357*1.10231)/1000</f>
        <v>57.713644669999994</v>
      </c>
      <c r="E20" s="12">
        <f>SUM(B20:D20)</f>
        <v>4881.1866446699996</v>
      </c>
      <c r="F20" s="12"/>
      <c r="G20" s="9">
        <f t="shared" si="0"/>
        <v>3328.9380029640001</v>
      </c>
      <c r="H20" s="12">
        <f>(999472.6*1.10231)/1000</f>
        <v>1101.728641706</v>
      </c>
      <c r="I20" s="10">
        <f t="shared" si="1"/>
        <v>4430.6666446700001</v>
      </c>
      <c r="J20" s="10">
        <v>450.52</v>
      </c>
    </row>
    <row r="21" spans="1:10" ht="14.25" x14ac:dyDescent="0.2">
      <c r="A21" s="30" t="s">
        <v>56</v>
      </c>
      <c r="B21" s="75">
        <f t="shared" si="2"/>
        <v>450.52</v>
      </c>
      <c r="C21" s="12">
        <v>4111.7449999999999</v>
      </c>
      <c r="D21" s="12">
        <f>(54909.8*1.10231)/1000</f>
        <v>60.527621637999999</v>
      </c>
      <c r="E21" s="12">
        <f>SUM(B21:D21)</f>
        <v>4622.7926216379992</v>
      </c>
      <c r="F21" s="12"/>
      <c r="G21" s="9">
        <f t="shared" si="0"/>
        <v>3084.1046288009993</v>
      </c>
      <c r="H21" s="12">
        <f>(1013862.7*1.10231)/1000</f>
        <v>1117.5909928369999</v>
      </c>
      <c r="I21" s="10">
        <f t="shared" si="1"/>
        <v>4201.6956216379995</v>
      </c>
      <c r="J21" s="10">
        <v>421.09699999999998</v>
      </c>
    </row>
    <row r="22" spans="1:10" ht="14.25" x14ac:dyDescent="0.2">
      <c r="A22" s="30" t="s">
        <v>58</v>
      </c>
      <c r="B22" s="75">
        <f t="shared" si="2"/>
        <v>421.09699999999998</v>
      </c>
      <c r="C22" s="12">
        <v>4009.4160000000002</v>
      </c>
      <c r="D22" s="12">
        <f>(64517.2*1.10231)/1000</f>
        <v>71.117954731999987</v>
      </c>
      <c r="E22" s="12">
        <f>SUM(B22:D22)</f>
        <v>4501.6309547319997</v>
      </c>
      <c r="F22" s="12"/>
      <c r="G22" s="9">
        <f t="shared" si="0"/>
        <v>3173.8370743459996</v>
      </c>
      <c r="H22" s="12">
        <f>(894900.6*1.10231)/1000</f>
        <v>986.45788038599994</v>
      </c>
      <c r="I22" s="10">
        <f t="shared" si="1"/>
        <v>4160.2949547319995</v>
      </c>
      <c r="J22" s="10">
        <v>341.33600000000001</v>
      </c>
    </row>
    <row r="23" spans="1:10" ht="14.25" x14ac:dyDescent="0.2">
      <c r="A23" s="30" t="s">
        <v>3</v>
      </c>
      <c r="B23" s="75"/>
      <c r="C23" s="12">
        <f>SUM(C11:C22)</f>
        <v>51100.43</v>
      </c>
      <c r="D23" s="12">
        <f>SUM(D11:D22)</f>
        <v>639.45289700599983</v>
      </c>
      <c r="E23" s="12">
        <f>B11+C23+D23</f>
        <v>52141.897897005998</v>
      </c>
      <c r="F23" s="12"/>
      <c r="G23" s="9">
        <f>SUM(G11:G22)</f>
        <v>37966.877728954991</v>
      </c>
      <c r="H23" s="9">
        <f>SUM(H11:H22)</f>
        <v>13833.684168051001</v>
      </c>
      <c r="I23" s="10">
        <f>SUM(I11:I22)</f>
        <v>51800.561897005995</v>
      </c>
      <c r="J23" s="12"/>
    </row>
    <row r="24" spans="1:10" ht="14.25" x14ac:dyDescent="0.2">
      <c r="A24" s="30"/>
      <c r="B24" s="75"/>
      <c r="C24" s="12"/>
      <c r="D24" s="12"/>
      <c r="E24" s="12"/>
      <c r="F24" s="12"/>
      <c r="G24" s="12"/>
      <c r="H24" s="12"/>
      <c r="I24" s="12"/>
      <c r="J24" s="12"/>
    </row>
    <row r="25" spans="1:10" ht="15" x14ac:dyDescent="0.25">
      <c r="A25" s="74" t="s">
        <v>122</v>
      </c>
      <c r="B25" s="75"/>
      <c r="C25" s="12"/>
      <c r="D25" s="12"/>
      <c r="E25" s="12"/>
      <c r="F25" s="12"/>
      <c r="G25" s="12"/>
      <c r="H25" s="12"/>
      <c r="I25" s="12"/>
      <c r="J25" s="12"/>
    </row>
    <row r="26" spans="1:10" ht="14.25" x14ac:dyDescent="0.2">
      <c r="A26" s="30" t="s">
        <v>45</v>
      </c>
      <c r="B26" s="75">
        <f>J22</f>
        <v>341.33600000000001</v>
      </c>
      <c r="C26" s="12">
        <v>4615.5919999999996</v>
      </c>
      <c r="D26" s="12">
        <f>(63180.5*1.10231)/1000</f>
        <v>69.644496954999994</v>
      </c>
      <c r="E26" s="12">
        <f t="shared" ref="E26:E32" si="4">SUM(B26:D26)</f>
        <v>5026.5724969550001</v>
      </c>
      <c r="F26" s="10"/>
      <c r="G26" s="9">
        <f t="shared" ref="G26:G32" si="5">I26-H26</f>
        <v>3543.9302441150003</v>
      </c>
      <c r="H26" s="12">
        <f>(1005564*1.10231)/1000</f>
        <v>1108.44325284</v>
      </c>
      <c r="I26" s="10">
        <f t="shared" ref="I26:I32" si="6">E26-J26</f>
        <v>4652.3734969550005</v>
      </c>
      <c r="J26" s="10">
        <v>374.19900000000001</v>
      </c>
    </row>
    <row r="27" spans="1:10" ht="14.25" x14ac:dyDescent="0.2">
      <c r="A27" s="30" t="s">
        <v>46</v>
      </c>
      <c r="B27" s="75">
        <f t="shared" ref="B27:B32" si="7">J26</f>
        <v>374.19900000000001</v>
      </c>
      <c r="C27" s="12">
        <v>4516.2939999999999</v>
      </c>
      <c r="D27" s="12">
        <f>(61205.6*1.10231)/1000</f>
        <v>67.467544935999996</v>
      </c>
      <c r="E27" s="12">
        <f t="shared" si="4"/>
        <v>4957.9605449359997</v>
      </c>
      <c r="F27" s="10"/>
      <c r="G27" s="9">
        <f t="shared" si="5"/>
        <v>3223.2103220019999</v>
      </c>
      <c r="H27" s="12">
        <f>(1157871.4*1.10231)/1000</f>
        <v>1276.3332229339997</v>
      </c>
      <c r="I27" s="10">
        <f t="shared" si="6"/>
        <v>4499.5435449359993</v>
      </c>
      <c r="J27" s="10">
        <v>458.41699999999997</v>
      </c>
    </row>
    <row r="28" spans="1:10" ht="14.25" x14ac:dyDescent="0.2">
      <c r="A28" s="30" t="s">
        <v>47</v>
      </c>
      <c r="B28" s="75">
        <f t="shared" si="7"/>
        <v>458.41699999999997</v>
      </c>
      <c r="C28" s="12">
        <v>4540.9309999999996</v>
      </c>
      <c r="D28" s="12">
        <f>(58666.4*1.10231)/1000</f>
        <v>64.668559383999991</v>
      </c>
      <c r="E28" s="12">
        <f t="shared" si="4"/>
        <v>5064.0165593840002</v>
      </c>
      <c r="F28" s="10"/>
      <c r="G28" s="9">
        <f t="shared" si="5"/>
        <v>3257.6761174220001</v>
      </c>
      <c r="H28" s="12">
        <f>(1312650.2*1.10231)/1000</f>
        <v>1446.9474419619999</v>
      </c>
      <c r="I28" s="10">
        <f t="shared" si="6"/>
        <v>4704.6235593840001</v>
      </c>
      <c r="J28" s="10">
        <v>359.39299999999997</v>
      </c>
    </row>
    <row r="29" spans="1:10" ht="14.25" x14ac:dyDescent="0.2">
      <c r="A29" s="30" t="s">
        <v>48</v>
      </c>
      <c r="B29" s="75">
        <f t="shared" si="7"/>
        <v>359.39299999999997</v>
      </c>
      <c r="C29" s="12">
        <v>4665.652</v>
      </c>
      <c r="D29" s="12">
        <f>(62004.8*1.10231)/1000</f>
        <v>68.348511087999995</v>
      </c>
      <c r="E29" s="12">
        <f t="shared" si="4"/>
        <v>5093.3935110880002</v>
      </c>
      <c r="F29" s="10"/>
      <c r="G29" s="9">
        <f t="shared" si="5"/>
        <v>3080.2815676670002</v>
      </c>
      <c r="H29" s="12">
        <f>(1322049.1*1.10231)/1000</f>
        <v>1457.3079434209999</v>
      </c>
      <c r="I29" s="10">
        <f t="shared" si="6"/>
        <v>4537.5895110880001</v>
      </c>
      <c r="J29" s="10">
        <v>555.80399999999997</v>
      </c>
    </row>
    <row r="30" spans="1:10" ht="14.25" x14ac:dyDescent="0.2">
      <c r="A30" s="30" t="s">
        <v>49</v>
      </c>
      <c r="B30" s="75">
        <f t="shared" si="7"/>
        <v>555.80399999999997</v>
      </c>
      <c r="C30" s="12">
        <v>3918.6709999999998</v>
      </c>
      <c r="D30" s="12">
        <f>(60831.4*1.10231)/1000</f>
        <v>67.055060533999992</v>
      </c>
      <c r="E30" s="12">
        <f t="shared" si="4"/>
        <v>4541.5300605339999</v>
      </c>
      <c r="F30" s="10"/>
      <c r="G30" s="9">
        <f t="shared" si="5"/>
        <v>2640.8198255869997</v>
      </c>
      <c r="H30" s="12">
        <f>(1194443.7*1.10231)/1000</f>
        <v>1316.647234947</v>
      </c>
      <c r="I30" s="10">
        <f t="shared" si="6"/>
        <v>3957.4670605339998</v>
      </c>
      <c r="J30" s="10">
        <v>584.06299999999999</v>
      </c>
    </row>
    <row r="31" spans="1:10" ht="14.25" x14ac:dyDescent="0.2">
      <c r="A31" s="30" t="s">
        <v>50</v>
      </c>
      <c r="B31" s="75">
        <f t="shared" si="7"/>
        <v>584.06299999999999</v>
      </c>
      <c r="C31" s="12">
        <v>4476.5870000000004</v>
      </c>
      <c r="D31" s="12">
        <f>(66448.6*1.10231)/1000</f>
        <v>73.246956265999998</v>
      </c>
      <c r="E31" s="12">
        <f t="shared" si="4"/>
        <v>5133.8969562660004</v>
      </c>
      <c r="F31" s="10"/>
      <c r="G31" s="9">
        <f t="shared" si="5"/>
        <v>3387.3791584980008</v>
      </c>
      <c r="H31" s="12">
        <f>(1178232.8*1.10231)/1000</f>
        <v>1298.777797768</v>
      </c>
      <c r="I31" s="10">
        <f t="shared" si="6"/>
        <v>4686.1569562660006</v>
      </c>
      <c r="J31" s="10">
        <v>447.74</v>
      </c>
    </row>
    <row r="32" spans="1:10" ht="14.25" x14ac:dyDescent="0.2">
      <c r="A32" s="30" t="s">
        <v>51</v>
      </c>
      <c r="B32" s="75">
        <f t="shared" si="7"/>
        <v>447.74</v>
      </c>
      <c r="C32" s="12">
        <v>4044.7089999999998</v>
      </c>
      <c r="D32" s="12">
        <f>(61739.5*1.10231)/1000</f>
        <v>68.056068244999992</v>
      </c>
      <c r="E32" s="12">
        <f t="shared" si="4"/>
        <v>4560.5050682449992</v>
      </c>
      <c r="F32" s="10"/>
      <c r="G32" s="9">
        <f t="shared" si="5"/>
        <v>3050.7248173269991</v>
      </c>
      <c r="H32" s="12">
        <f>(959597.8*1.10231)/1000</f>
        <v>1057.774250918</v>
      </c>
      <c r="I32" s="10">
        <f t="shared" si="6"/>
        <v>4108.4990682449989</v>
      </c>
      <c r="J32" s="10">
        <v>452.00599999999997</v>
      </c>
    </row>
    <row r="33" spans="1:10" ht="14.25" x14ac:dyDescent="0.2">
      <c r="A33" s="30" t="s">
        <v>52</v>
      </c>
      <c r="B33" s="75">
        <f t="shared" ref="B33" si="8">J32</f>
        <v>452.00599999999997</v>
      </c>
      <c r="C33" s="12">
        <v>4122.884</v>
      </c>
      <c r="D33" s="12">
        <f>(59425.5*1.10231)/1000</f>
        <v>65.505322905</v>
      </c>
      <c r="E33" s="12">
        <f>SUM(B33:D33)</f>
        <v>4640.3953229050003</v>
      </c>
      <c r="F33" s="10"/>
      <c r="G33" s="9">
        <f t="shared" ref="G33:G36" si="9">I33-H33</f>
        <v>2948.6927628190006</v>
      </c>
      <c r="H33" s="12">
        <f>(952770.6*1.10231)/1000</f>
        <v>1050.2485600859998</v>
      </c>
      <c r="I33" s="10">
        <f>E33-J33</f>
        <v>3998.9413229050006</v>
      </c>
      <c r="J33" s="10">
        <v>641.45399999999995</v>
      </c>
    </row>
    <row r="34" spans="1:10" ht="14.25" x14ac:dyDescent="0.2">
      <c r="A34" s="30" t="s">
        <v>53</v>
      </c>
      <c r="B34" s="75">
        <f>J33</f>
        <v>641.45399999999995</v>
      </c>
      <c r="C34" s="12">
        <v>3833.951</v>
      </c>
      <c r="D34" s="12">
        <f>(57647.2*1.10231)/1000</f>
        <v>63.545085031999989</v>
      </c>
      <c r="E34" s="12">
        <f>SUM(B34:D34)</f>
        <v>4538.9500850320001</v>
      </c>
      <c r="F34" s="10"/>
      <c r="G34" s="9">
        <f t="shared" si="9"/>
        <v>3182.6439690309999</v>
      </c>
      <c r="H34" s="12">
        <f>(832167.1*1.10231)/1000</f>
        <v>917.30611600099996</v>
      </c>
      <c r="I34" s="10">
        <f>E34-J34</f>
        <v>4099.9500850320001</v>
      </c>
      <c r="J34" s="10">
        <v>439</v>
      </c>
    </row>
    <row r="35" spans="1:10" ht="14.25" x14ac:dyDescent="0.2">
      <c r="A35" s="30" t="s">
        <v>55</v>
      </c>
      <c r="B35" s="75">
        <f>J34</f>
        <v>439</v>
      </c>
      <c r="C35" s="12">
        <v>3966.4989999999998</v>
      </c>
      <c r="D35" s="12">
        <f>(80443.6*1.10231)/1000</f>
        <v>88.673784716</v>
      </c>
      <c r="E35" s="12">
        <f>SUM(B35:D35)</f>
        <v>4494.172784716</v>
      </c>
      <c r="F35" s="10"/>
      <c r="G35" s="9">
        <f t="shared" si="9"/>
        <v>2936.1778779750002</v>
      </c>
      <c r="H35" s="12">
        <f>(980821.1*1.10231)/1000</f>
        <v>1081.1689067409998</v>
      </c>
      <c r="I35" s="10">
        <f>E35-J35</f>
        <v>4017.346784716</v>
      </c>
      <c r="J35" s="10">
        <v>476.82600000000002</v>
      </c>
    </row>
    <row r="36" spans="1:10" ht="14.25" x14ac:dyDescent="0.2">
      <c r="A36" s="30" t="s">
        <v>56</v>
      </c>
      <c r="B36" s="75">
        <f>J35</f>
        <v>476.82600000000002</v>
      </c>
      <c r="C36" s="12">
        <v>3995.2939999999999</v>
      </c>
      <c r="D36" s="12">
        <f>(42840.9*1.10231)/1000</f>
        <v>47.223952478999998</v>
      </c>
      <c r="E36" s="12">
        <f>SUM(B36:D36)</f>
        <v>4519.3439524790001</v>
      </c>
      <c r="F36" s="10"/>
      <c r="G36" s="9">
        <f t="shared" si="9"/>
        <v>3177.8774938420006</v>
      </c>
      <c r="H36" s="12">
        <f>(869042.7*1.10231)/1000</f>
        <v>957.95445863699979</v>
      </c>
      <c r="I36" s="10">
        <f>E36-J36</f>
        <v>4135.8319524790004</v>
      </c>
      <c r="J36" s="10">
        <v>383.512</v>
      </c>
    </row>
    <row r="37" spans="1:10" ht="14.25" x14ac:dyDescent="0.2">
      <c r="A37" s="24" t="s">
        <v>123</v>
      </c>
      <c r="B37" s="76"/>
      <c r="C37" s="61">
        <f>SUM(C26:C36)</f>
        <v>46697.063999999991</v>
      </c>
      <c r="D37" s="61">
        <f>SUM(D26:D36)</f>
        <v>743.43534253999997</v>
      </c>
      <c r="E37" s="61">
        <f>B26+C37+D37</f>
        <v>47781.835342539991</v>
      </c>
      <c r="F37" s="61"/>
      <c r="G37" s="61">
        <f>SUM(G26:G36)</f>
        <v>34429.414156285005</v>
      </c>
      <c r="H37" s="61">
        <f>SUM(H26:H36)</f>
        <v>12968.909186255001</v>
      </c>
      <c r="I37" s="61">
        <f>SUM(I26:I36)</f>
        <v>47398.323342540003</v>
      </c>
      <c r="J37" s="61"/>
    </row>
    <row r="38" spans="1:10" ht="16.5" x14ac:dyDescent="0.2">
      <c r="A38" s="77" t="s">
        <v>116</v>
      </c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14.25" x14ac:dyDescent="0.2">
      <c r="A39" s="26" t="s">
        <v>91</v>
      </c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4.25" x14ac:dyDescent="0.2">
      <c r="A40" s="32" t="s">
        <v>18</v>
      </c>
      <c r="B40" s="66">
        <f ca="1">NOW()</f>
        <v>44482.587913078707</v>
      </c>
      <c r="C40" s="53"/>
      <c r="D40" s="45"/>
      <c r="E40" s="45"/>
      <c r="F40" s="45"/>
      <c r="G40" s="45"/>
      <c r="H40" s="45"/>
      <c r="I40" s="45"/>
      <c r="J40" s="45"/>
    </row>
    <row r="41" spans="1:10" x14ac:dyDescent="0.2">
      <c r="A41" s="78"/>
      <c r="B41" s="79"/>
      <c r="C41" s="80"/>
      <c r="D41" s="79"/>
      <c r="E41" s="79"/>
      <c r="F41" s="79"/>
      <c r="G41" s="79"/>
      <c r="H41" s="81"/>
      <c r="I41" s="79"/>
      <c r="J41" s="79"/>
    </row>
    <row r="42" spans="1:10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</row>
    <row r="43" spans="1:10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</row>
    <row r="44" spans="1:10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</row>
  </sheetData>
  <mergeCells count="3">
    <mergeCell ref="G2:I2"/>
    <mergeCell ref="B5:J5"/>
    <mergeCell ref="B2:E2"/>
  </mergeCells>
  <phoneticPr fontId="11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M40"/>
  <sheetViews>
    <sheetView showGridLines="0" zoomScaleNormal="100" workbookViewId="0"/>
  </sheetViews>
  <sheetFormatPr defaultRowHeight="12.75" x14ac:dyDescent="0.2"/>
  <cols>
    <col min="1" max="1" width="14.5703125" style="25" customWidth="1"/>
    <col min="2" max="2" width="12.28515625" style="25" bestFit="1" customWidth="1"/>
    <col min="3" max="3" width="11.7109375" style="25" bestFit="1" customWidth="1"/>
    <col min="4" max="4" width="11" style="25" bestFit="1" customWidth="1"/>
    <col min="5" max="5" width="11.28515625" style="25" bestFit="1" customWidth="1"/>
    <col min="6" max="6" width="3.7109375" style="25" customWidth="1"/>
    <col min="7" max="7" width="11.5703125" style="25" bestFit="1" customWidth="1"/>
    <col min="8" max="8" width="10.7109375" style="25" customWidth="1"/>
    <col min="9" max="9" width="12.7109375" style="25" customWidth="1"/>
    <col min="10" max="10" width="10.28515625" style="25" bestFit="1" customWidth="1"/>
    <col min="11" max="11" width="11.5703125" style="25" bestFit="1" customWidth="1"/>
    <col min="12" max="12" width="10.28515625" style="25" bestFit="1" customWidth="1"/>
    <col min="13" max="16384" width="9.140625" style="25"/>
  </cols>
  <sheetData>
    <row r="1" spans="1:13" ht="14.25" x14ac:dyDescent="0.2">
      <c r="A1" s="24" t="s">
        <v>133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4.25" x14ac:dyDescent="0.2">
      <c r="A2" s="26"/>
      <c r="B2" s="165" t="s">
        <v>0</v>
      </c>
      <c r="C2" s="165"/>
      <c r="D2" s="165"/>
      <c r="E2" s="165"/>
      <c r="F2" s="30"/>
      <c r="G2" s="165" t="s">
        <v>17</v>
      </c>
      <c r="H2" s="165"/>
      <c r="I2" s="165"/>
      <c r="J2" s="69"/>
      <c r="K2" s="69"/>
      <c r="L2" s="26"/>
    </row>
    <row r="3" spans="1:13" ht="14.25" x14ac:dyDescent="0.2">
      <c r="A3" s="26" t="s">
        <v>61</v>
      </c>
      <c r="B3" s="28" t="s">
        <v>28</v>
      </c>
      <c r="C3" s="47" t="s">
        <v>1</v>
      </c>
      <c r="D3" s="47" t="s">
        <v>29</v>
      </c>
      <c r="E3" s="47" t="s">
        <v>24</v>
      </c>
      <c r="F3" s="47"/>
      <c r="G3" s="69" t="s">
        <v>27</v>
      </c>
      <c r="H3" s="69"/>
      <c r="I3" s="69"/>
      <c r="J3" s="47" t="s">
        <v>31</v>
      </c>
      <c r="K3" s="47" t="s">
        <v>24</v>
      </c>
      <c r="L3" s="47" t="s">
        <v>26</v>
      </c>
    </row>
    <row r="4" spans="1:13" ht="16.5" x14ac:dyDescent="0.2">
      <c r="A4" s="33" t="s">
        <v>62</v>
      </c>
      <c r="B4" s="35" t="s">
        <v>25</v>
      </c>
      <c r="C4" s="36"/>
      <c r="D4" s="36"/>
      <c r="E4" s="36"/>
      <c r="F4" s="36"/>
      <c r="G4" s="35" t="s">
        <v>3</v>
      </c>
      <c r="H4" s="35" t="s">
        <v>152</v>
      </c>
      <c r="I4" s="35" t="s">
        <v>159</v>
      </c>
      <c r="J4" s="36"/>
      <c r="K4" s="36"/>
      <c r="L4" s="47" t="s">
        <v>71</v>
      </c>
    </row>
    <row r="5" spans="1:13" ht="14.25" x14ac:dyDescent="0.2">
      <c r="A5" s="26"/>
      <c r="B5" s="167" t="s">
        <v>79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1:13" ht="14.25" x14ac:dyDescent="0.2">
      <c r="A6" s="26" t="s">
        <v>114</v>
      </c>
      <c r="B6" s="73">
        <f>B11</f>
        <v>1775.316</v>
      </c>
      <c r="C6" s="73">
        <f>C23</f>
        <v>24911.120999999996</v>
      </c>
      <c r="D6" s="73">
        <f>D23</f>
        <v>320.33400168419996</v>
      </c>
      <c r="E6" s="73">
        <f>E23</f>
        <v>27006.771001684196</v>
      </c>
      <c r="F6" s="73"/>
      <c r="G6" s="73">
        <f>G23</f>
        <v>22317.405787813401</v>
      </c>
      <c r="H6" s="44">
        <f>H23</f>
        <v>8657.8000000000011</v>
      </c>
      <c r="I6" s="44">
        <f>I23</f>
        <v>13659.605787813402</v>
      </c>
      <c r="J6" s="73">
        <f>J23</f>
        <v>2836.6902138707997</v>
      </c>
      <c r="K6" s="73">
        <f>K23</f>
        <v>25154.0960016842</v>
      </c>
      <c r="L6" s="73">
        <f>L22</f>
        <v>1852.675</v>
      </c>
      <c r="M6" s="147"/>
    </row>
    <row r="7" spans="1:13" ht="16.5" x14ac:dyDescent="0.2">
      <c r="A7" s="26" t="s">
        <v>117</v>
      </c>
      <c r="B7" s="73">
        <f>L6</f>
        <v>1852.675</v>
      </c>
      <c r="C7" s="73">
        <v>24980</v>
      </c>
      <c r="D7" s="73">
        <v>295</v>
      </c>
      <c r="E7" s="73">
        <f>SUM(B7:D7)</f>
        <v>27127.674999999999</v>
      </c>
      <c r="F7" s="73"/>
      <c r="G7" s="73">
        <f>K7-J7</f>
        <v>23350</v>
      </c>
      <c r="H7" s="44">
        <v>8800</v>
      </c>
      <c r="I7" s="44">
        <f>G7-H7</f>
        <v>14550</v>
      </c>
      <c r="J7" s="73">
        <v>1715</v>
      </c>
      <c r="K7" s="73">
        <f>E7-L7</f>
        <v>25065</v>
      </c>
      <c r="L7" s="73">
        <v>2062.6749999999993</v>
      </c>
      <c r="M7" s="145"/>
    </row>
    <row r="8" spans="1:13" ht="16.5" x14ac:dyDescent="0.2">
      <c r="A8" s="26" t="s">
        <v>147</v>
      </c>
      <c r="B8" s="73">
        <f>L7</f>
        <v>2062.6749999999993</v>
      </c>
      <c r="C8" s="73">
        <v>25535</v>
      </c>
      <c r="D8" s="73">
        <v>450</v>
      </c>
      <c r="E8" s="73">
        <f>SUM(B8:D8)</f>
        <v>28047.674999999999</v>
      </c>
      <c r="F8" s="73"/>
      <c r="G8" s="73">
        <f>K8-J8</f>
        <v>25000</v>
      </c>
      <c r="H8" s="44">
        <v>11000</v>
      </c>
      <c r="I8" s="44">
        <f>G8-H8</f>
        <v>14000</v>
      </c>
      <c r="J8" s="73">
        <v>1250</v>
      </c>
      <c r="K8" s="73">
        <f>E8-L8</f>
        <v>26250</v>
      </c>
      <c r="L8" s="73">
        <v>1797.6749999999993</v>
      </c>
    </row>
    <row r="9" spans="1:13" ht="14.25" x14ac:dyDescent="0.2">
      <c r="A9" s="26"/>
      <c r="B9" s="73"/>
      <c r="C9" s="73"/>
      <c r="D9" s="73"/>
      <c r="E9" s="73"/>
      <c r="F9" s="73"/>
      <c r="G9" s="73"/>
      <c r="H9" s="73"/>
      <c r="I9" s="146"/>
      <c r="J9" s="73"/>
      <c r="K9" s="73"/>
      <c r="L9" s="73"/>
    </row>
    <row r="10" spans="1:13" ht="15" x14ac:dyDescent="0.25">
      <c r="A10" s="48" t="s">
        <v>114</v>
      </c>
      <c r="B10" s="82"/>
      <c r="C10" s="12"/>
      <c r="D10" s="12"/>
      <c r="E10" s="12"/>
      <c r="F10" s="10"/>
      <c r="G10" s="12"/>
      <c r="H10" s="12"/>
      <c r="I10" s="12"/>
      <c r="J10" s="12"/>
      <c r="K10" s="12"/>
      <c r="L10" s="10"/>
    </row>
    <row r="11" spans="1:13" ht="14.25" x14ac:dyDescent="0.2">
      <c r="A11" s="30" t="s">
        <v>45</v>
      </c>
      <c r="B11" s="10">
        <f>1400.569+374.747</f>
        <v>1775.316</v>
      </c>
      <c r="C11" s="12">
        <v>2150</v>
      </c>
      <c r="D11" s="12">
        <f>(13830.4*2204.622)/1000000</f>
        <v>30.490804108799999</v>
      </c>
      <c r="E11" s="12">
        <f t="shared" ref="E11:E18" si="0">SUM(B11:D11)</f>
        <v>3955.8068041088</v>
      </c>
      <c r="F11" s="10"/>
      <c r="G11" s="10">
        <f t="shared" ref="G11:G22" si="1">K11-J11</f>
        <v>1882.1233921921998</v>
      </c>
      <c r="H11" s="12">
        <v>624.20000000000005</v>
      </c>
      <c r="I11" s="12">
        <f t="shared" ref="I11:I22" si="2">G11-H11</f>
        <v>1257.9233921921998</v>
      </c>
      <c r="J11" s="12">
        <f>(114615.3*2204.622)/1000000</f>
        <v>252.68341191659999</v>
      </c>
      <c r="K11" s="12">
        <f t="shared" ref="K11:K22" si="3">E11-L11</f>
        <v>2134.8068041088</v>
      </c>
      <c r="L11" s="10">
        <v>1821</v>
      </c>
    </row>
    <row r="12" spans="1:13" ht="14.25" x14ac:dyDescent="0.2">
      <c r="A12" s="30" t="s">
        <v>46</v>
      </c>
      <c r="B12" s="10">
        <f t="shared" ref="B12:B22" si="4">L11</f>
        <v>1821</v>
      </c>
      <c r="C12" s="12">
        <v>1999.6</v>
      </c>
      <c r="D12" s="12">
        <f>(11144.5*2204.622)/1000000</f>
        <v>24.569409878999998</v>
      </c>
      <c r="E12" s="12">
        <f t="shared" si="0"/>
        <v>3845.1694098789999</v>
      </c>
      <c r="F12" s="10"/>
      <c r="G12" s="10">
        <f t="shared" si="1"/>
        <v>1707.0745634139998</v>
      </c>
      <c r="H12" s="12">
        <v>593.20000000000005</v>
      </c>
      <c r="I12" s="12">
        <f t="shared" si="2"/>
        <v>1113.8745634139998</v>
      </c>
      <c r="J12" s="12">
        <f>(116907.5*2204.622)/1000000</f>
        <v>257.73684646499999</v>
      </c>
      <c r="K12" s="12">
        <f t="shared" si="3"/>
        <v>1964.8114098789999</v>
      </c>
      <c r="L12" s="10">
        <v>1880.3579999999999</v>
      </c>
    </row>
    <row r="13" spans="1:13" ht="14.25" x14ac:dyDescent="0.2">
      <c r="A13" s="30" t="s">
        <v>47</v>
      </c>
      <c r="B13" s="10">
        <f t="shared" si="4"/>
        <v>1880.3579999999999</v>
      </c>
      <c r="C13" s="12">
        <v>2110.9</v>
      </c>
      <c r="D13" s="12">
        <f>(16050.2*2204.622)/1000000</f>
        <v>35.384624024399997</v>
      </c>
      <c r="E13" s="12">
        <f t="shared" si="0"/>
        <v>4026.6426240244</v>
      </c>
      <c r="F13" s="10"/>
      <c r="G13" s="10">
        <f t="shared" si="1"/>
        <v>1707.7186442402001</v>
      </c>
      <c r="H13" s="12">
        <v>607.70000000000005</v>
      </c>
      <c r="I13" s="12">
        <f t="shared" si="2"/>
        <v>1100.0186442402</v>
      </c>
      <c r="J13" s="12">
        <f>(83851.1*2204.622)/1000000</f>
        <v>184.85997978420002</v>
      </c>
      <c r="K13" s="12">
        <f t="shared" si="3"/>
        <v>1892.5786240244001</v>
      </c>
      <c r="L13" s="10">
        <v>2134.0639999999999</v>
      </c>
    </row>
    <row r="14" spans="1:13" ht="14.25" x14ac:dyDescent="0.2">
      <c r="A14" s="30" t="s">
        <v>48</v>
      </c>
      <c r="B14" s="10">
        <f t="shared" si="4"/>
        <v>2134.0639999999999</v>
      </c>
      <c r="C14" s="12">
        <v>2154.4</v>
      </c>
      <c r="D14" s="12">
        <f>(14802*2204.622)/1000000</f>
        <v>32.632814843999995</v>
      </c>
      <c r="E14" s="12">
        <f t="shared" si="0"/>
        <v>4321.0968148439997</v>
      </c>
      <c r="F14" s="10"/>
      <c r="G14" s="10">
        <f t="shared" si="1"/>
        <v>1839.9018871715998</v>
      </c>
      <c r="H14" s="12">
        <v>587.70000000000005</v>
      </c>
      <c r="I14" s="12">
        <f t="shared" si="2"/>
        <v>1252.2018871715998</v>
      </c>
      <c r="J14" s="12">
        <f>(56834.2*2204.622)/1000000</f>
        <v>125.29792767239998</v>
      </c>
      <c r="K14" s="12">
        <f t="shared" si="3"/>
        <v>1965.1998148439998</v>
      </c>
      <c r="L14" s="10">
        <v>2355.8969999999999</v>
      </c>
    </row>
    <row r="15" spans="1:13" ht="14.25" x14ac:dyDescent="0.2">
      <c r="A15" s="30" t="s">
        <v>49</v>
      </c>
      <c r="B15" s="10">
        <f t="shared" si="4"/>
        <v>2355.8969999999999</v>
      </c>
      <c r="C15" s="12">
        <v>1999.5</v>
      </c>
      <c r="D15" s="12">
        <f>(12724.7*2204.622)/1000000</f>
        <v>28.053153563399999</v>
      </c>
      <c r="E15" s="12">
        <f t="shared" si="0"/>
        <v>4383.4501535633999</v>
      </c>
      <c r="F15" s="10"/>
      <c r="G15" s="10">
        <f t="shared" si="1"/>
        <v>1610.9762973402003</v>
      </c>
      <c r="H15" s="12">
        <v>641.4</v>
      </c>
      <c r="I15" s="12">
        <f t="shared" si="2"/>
        <v>969.57629734020031</v>
      </c>
      <c r="J15" s="12">
        <f>(179475.6*2204.622)/1000000</f>
        <v>395.67585622319996</v>
      </c>
      <c r="K15" s="12">
        <f t="shared" si="3"/>
        <v>2006.6521535634001</v>
      </c>
      <c r="L15" s="10">
        <v>2376.7979999999998</v>
      </c>
    </row>
    <row r="16" spans="1:13" ht="14.25" x14ac:dyDescent="0.2">
      <c r="A16" s="30" t="s">
        <v>50</v>
      </c>
      <c r="B16" s="10">
        <f t="shared" si="4"/>
        <v>2376.7979999999998</v>
      </c>
      <c r="C16" s="12">
        <v>2201.1</v>
      </c>
      <c r="D16" s="12">
        <f>(10783.5*2204.622)/1000000</f>
        <v>23.773541336999997</v>
      </c>
      <c r="E16" s="12">
        <f t="shared" si="0"/>
        <v>4601.6715413369993</v>
      </c>
      <c r="F16" s="10"/>
      <c r="G16" s="10">
        <f t="shared" si="1"/>
        <v>1954.1939273881994</v>
      </c>
      <c r="H16" s="12">
        <v>722.7</v>
      </c>
      <c r="I16" s="12">
        <f t="shared" si="2"/>
        <v>1231.4939273881994</v>
      </c>
      <c r="J16" s="12">
        <f>(145550.4*2204.622)/1000000</f>
        <v>320.88361394879996</v>
      </c>
      <c r="K16" s="12">
        <f t="shared" si="3"/>
        <v>2275.0775413369993</v>
      </c>
      <c r="L16" s="10">
        <v>2326.5940000000001</v>
      </c>
    </row>
    <row r="17" spans="1:13" ht="14.25" x14ac:dyDescent="0.2">
      <c r="A17" s="30" t="s">
        <v>51</v>
      </c>
      <c r="B17" s="10">
        <f t="shared" si="4"/>
        <v>2326.5940000000001</v>
      </c>
      <c r="C17" s="12">
        <v>2099.5</v>
      </c>
      <c r="D17" s="12">
        <f>(11118.8*2204.622)/1000000</f>
        <v>24.512751093599999</v>
      </c>
      <c r="E17" s="12">
        <f t="shared" si="0"/>
        <v>4450.6067510936</v>
      </c>
      <c r="F17" s="10"/>
      <c r="G17" s="10">
        <f t="shared" si="1"/>
        <v>1619.8108063502</v>
      </c>
      <c r="H17" s="12">
        <v>738.5</v>
      </c>
      <c r="I17" s="12">
        <f t="shared" si="2"/>
        <v>881.31080635019998</v>
      </c>
      <c r="J17" s="12">
        <f>(104414.7*2204.622)/1000000</f>
        <v>230.19494474339999</v>
      </c>
      <c r="K17" s="12">
        <f t="shared" si="3"/>
        <v>1850.0057510935999</v>
      </c>
      <c r="L17" s="10">
        <v>2600.6010000000001</v>
      </c>
    </row>
    <row r="18" spans="1:13" ht="14.25" x14ac:dyDescent="0.2">
      <c r="A18" s="30" t="s">
        <v>52</v>
      </c>
      <c r="B18" s="10">
        <f t="shared" si="4"/>
        <v>2600.6010000000001</v>
      </c>
      <c r="C18" s="12">
        <v>2057.6</v>
      </c>
      <c r="D18" s="12">
        <f>(11040.1*2204.622)/1000000</f>
        <v>24.3392473422</v>
      </c>
      <c r="E18" s="12">
        <f t="shared" si="0"/>
        <v>4682.5402473422</v>
      </c>
      <c r="F18" s="10"/>
      <c r="G18" s="10">
        <f t="shared" si="1"/>
        <v>1879.3007666992</v>
      </c>
      <c r="H18" s="12">
        <v>872</v>
      </c>
      <c r="I18" s="12">
        <f t="shared" si="2"/>
        <v>1007.3007666992</v>
      </c>
      <c r="J18" s="12">
        <f>(162306.5*2204.622)/1000000</f>
        <v>357.82448064299996</v>
      </c>
      <c r="K18" s="12">
        <f t="shared" si="3"/>
        <v>2237.1252473422001</v>
      </c>
      <c r="L18" s="10">
        <v>2445.415</v>
      </c>
    </row>
    <row r="19" spans="1:13" ht="14.25" x14ac:dyDescent="0.2">
      <c r="A19" s="30" t="s">
        <v>53</v>
      </c>
      <c r="B19" s="10">
        <f t="shared" si="4"/>
        <v>2445.415</v>
      </c>
      <c r="C19" s="12">
        <v>2035.3</v>
      </c>
      <c r="D19" s="12">
        <f>(11446.3*2204.622)/1000000</f>
        <v>25.234764798599997</v>
      </c>
      <c r="E19" s="12">
        <f>SUM(B19:D19)</f>
        <v>4505.9497647986</v>
      </c>
      <c r="F19" s="10"/>
      <c r="G19" s="10">
        <f t="shared" si="1"/>
        <v>2067.4719706057999</v>
      </c>
      <c r="H19" s="12">
        <v>813.7</v>
      </c>
      <c r="I19" s="12">
        <f t="shared" si="2"/>
        <v>1253.7719706057999</v>
      </c>
      <c r="J19" s="12">
        <f>(76052.4*2204.622)/1000000</f>
        <v>167.66679419279998</v>
      </c>
      <c r="K19" s="12">
        <f t="shared" si="3"/>
        <v>2235.1387647985998</v>
      </c>
      <c r="L19" s="10">
        <v>2270.8110000000001</v>
      </c>
    </row>
    <row r="20" spans="1:13" ht="14.25" x14ac:dyDescent="0.2">
      <c r="A20" s="30" t="s">
        <v>55</v>
      </c>
      <c r="B20" s="10">
        <f t="shared" si="4"/>
        <v>2270.8110000000001</v>
      </c>
      <c r="C20" s="12">
        <v>2122.8000000000002</v>
      </c>
      <c r="D20" s="12">
        <f>(12544.2*2204.622)/1000000</f>
        <v>27.655219292399998</v>
      </c>
      <c r="E20" s="12">
        <f>SUM(B20:D20)</f>
        <v>4421.2662192924008</v>
      </c>
      <c r="F20" s="10"/>
      <c r="G20" s="10">
        <f t="shared" si="1"/>
        <v>2133.4107486692005</v>
      </c>
      <c r="H20" s="12">
        <v>841.5</v>
      </c>
      <c r="I20" s="12">
        <f t="shared" si="2"/>
        <v>1291.9107486692005</v>
      </c>
      <c r="J20" s="12">
        <f>(74675.6*2204.622)/1000000</f>
        <v>164.63147062319999</v>
      </c>
      <c r="K20" s="12">
        <f t="shared" si="3"/>
        <v>2298.0422192924007</v>
      </c>
      <c r="L20" s="10">
        <v>2123.2240000000002</v>
      </c>
    </row>
    <row r="21" spans="1:13" ht="14.25" x14ac:dyDescent="0.2">
      <c r="A21" s="30" t="s">
        <v>56</v>
      </c>
      <c r="B21" s="10">
        <f t="shared" si="4"/>
        <v>2123.2240000000002</v>
      </c>
      <c r="C21" s="12">
        <v>2012.8</v>
      </c>
      <c r="D21" s="12">
        <f>(10365.4*2204.622)/1000000</f>
        <v>22.851788878799997</v>
      </c>
      <c r="E21" s="12">
        <f>SUM(B21:D21)</f>
        <v>4158.8757888788004</v>
      </c>
      <c r="F21" s="10"/>
      <c r="G21" s="10">
        <f t="shared" si="1"/>
        <v>2013.3924589964006</v>
      </c>
      <c r="H21" s="12">
        <v>812</v>
      </c>
      <c r="I21" s="12">
        <f t="shared" si="2"/>
        <v>1201.3924589964006</v>
      </c>
      <c r="J21" s="12">
        <f>(90889.2*2204.622)/1000000</f>
        <v>200.37632988239997</v>
      </c>
      <c r="K21" s="12">
        <f t="shared" si="3"/>
        <v>2213.7687888788005</v>
      </c>
      <c r="L21" s="10">
        <v>1945.107</v>
      </c>
    </row>
    <row r="22" spans="1:13" ht="14.25" x14ac:dyDescent="0.2">
      <c r="A22" s="30" t="s">
        <v>58</v>
      </c>
      <c r="B22" s="10">
        <f t="shared" si="4"/>
        <v>1945.107</v>
      </c>
      <c r="C22" s="12">
        <v>1967.6210000000001</v>
      </c>
      <c r="D22" s="12">
        <f>(9451*2204.622)/1000000</f>
        <v>20.835882521999999</v>
      </c>
      <c r="E22" s="12">
        <f>SUM(B22:D22)</f>
        <v>3933.5638825219999</v>
      </c>
      <c r="F22" s="10"/>
      <c r="G22" s="10">
        <f t="shared" si="1"/>
        <v>1902.0303247462002</v>
      </c>
      <c r="H22" s="12">
        <v>803.2</v>
      </c>
      <c r="I22" s="12">
        <f t="shared" si="2"/>
        <v>1098.8303247462002</v>
      </c>
      <c r="J22" s="12">
        <f>(81128.9*2204.622)/1000000</f>
        <v>178.85855777579997</v>
      </c>
      <c r="K22" s="12">
        <f t="shared" si="3"/>
        <v>2080.8888825220001</v>
      </c>
      <c r="L22" s="10">
        <v>1852.675</v>
      </c>
      <c r="M22" s="56"/>
    </row>
    <row r="23" spans="1:13" ht="14.25" x14ac:dyDescent="0.2">
      <c r="A23" s="30" t="s">
        <v>3</v>
      </c>
      <c r="B23" s="10"/>
      <c r="C23" s="12">
        <f>SUM(C11:C22)</f>
        <v>24911.120999999996</v>
      </c>
      <c r="D23" s="12">
        <f t="shared" ref="D23:K23" si="5">SUM(D11:D22)</f>
        <v>320.33400168419996</v>
      </c>
      <c r="E23" s="12">
        <f>B11+C23+D23</f>
        <v>27006.771001684196</v>
      </c>
      <c r="F23" s="12"/>
      <c r="G23" s="12">
        <f t="shared" si="5"/>
        <v>22317.405787813401</v>
      </c>
      <c r="H23" s="12">
        <f t="shared" si="5"/>
        <v>8657.8000000000011</v>
      </c>
      <c r="I23" s="12">
        <f t="shared" si="5"/>
        <v>13659.605787813402</v>
      </c>
      <c r="J23" s="12">
        <f t="shared" si="5"/>
        <v>2836.6902138707997</v>
      </c>
      <c r="K23" s="12">
        <f t="shared" si="5"/>
        <v>25154.0960016842</v>
      </c>
      <c r="L23" s="10"/>
    </row>
    <row r="24" spans="1:13" ht="14.25" x14ac:dyDescent="0.2">
      <c r="A24" s="30"/>
      <c r="B24" s="82"/>
      <c r="C24" s="12"/>
      <c r="D24" s="154"/>
      <c r="E24" s="12"/>
      <c r="F24" s="10"/>
      <c r="G24" s="12"/>
      <c r="H24" s="12"/>
      <c r="I24" s="12"/>
      <c r="J24" s="12"/>
      <c r="K24" s="12"/>
      <c r="L24" s="10"/>
    </row>
    <row r="25" spans="1:13" ht="15" x14ac:dyDescent="0.25">
      <c r="A25" s="48" t="s">
        <v>122</v>
      </c>
      <c r="B25" s="82"/>
      <c r="C25" s="12"/>
      <c r="D25" s="12"/>
      <c r="E25" s="12"/>
      <c r="F25" s="10"/>
      <c r="G25" s="12"/>
      <c r="H25" s="12"/>
      <c r="I25" s="12"/>
      <c r="J25" s="12"/>
      <c r="K25" s="12"/>
      <c r="L25" s="10"/>
    </row>
    <row r="26" spans="1:13" ht="14.25" x14ac:dyDescent="0.2">
      <c r="A26" s="30" t="s">
        <v>45</v>
      </c>
      <c r="B26" s="10">
        <f>L22</f>
        <v>1852.675</v>
      </c>
      <c r="C26" s="12">
        <v>2282.471</v>
      </c>
      <c r="D26" s="12">
        <f>(9292.2*2204.622)/1000000</f>
        <v>20.485788548399999</v>
      </c>
      <c r="E26" s="12">
        <f t="shared" ref="E26:E32" si="6">SUM(B26:D26)</f>
        <v>4155.6317885483995</v>
      </c>
      <c r="F26" s="10"/>
      <c r="G26" s="10">
        <v>2003.5</v>
      </c>
      <c r="H26" s="12">
        <v>790</v>
      </c>
      <c r="I26" s="12">
        <v>1208.5</v>
      </c>
      <c r="J26" s="12">
        <f>(84043.5*2204.622)/1000000</f>
        <v>185.28414905699998</v>
      </c>
      <c r="K26" s="12">
        <f t="shared" ref="K26:K32" si="7">E26-L26</f>
        <v>2187.6207885483996</v>
      </c>
      <c r="L26" s="10">
        <v>1968.011</v>
      </c>
    </row>
    <row r="27" spans="1:13" ht="14.25" x14ac:dyDescent="0.2">
      <c r="A27" s="30" t="s">
        <v>46</v>
      </c>
      <c r="B27" s="10">
        <f t="shared" ref="B27:B32" si="8">L26</f>
        <v>1968.011</v>
      </c>
      <c r="C27" s="12">
        <v>2206.7919999999999</v>
      </c>
      <c r="D27" s="12">
        <f>(9620.6*2204.622)/1000000</f>
        <v>21.2097864132</v>
      </c>
      <c r="E27" s="12">
        <f t="shared" si="6"/>
        <v>4196.0127864132</v>
      </c>
      <c r="F27" s="10"/>
      <c r="G27" s="10">
        <v>1901.6</v>
      </c>
      <c r="H27" s="12">
        <v>750</v>
      </c>
      <c r="I27" s="12">
        <v>1149.5999999999999</v>
      </c>
      <c r="J27" s="12">
        <f>(80375.8*2204.622)/1000000</f>
        <v>177.19825694760002</v>
      </c>
      <c r="K27" s="12">
        <f t="shared" si="7"/>
        <v>2078.9157864131998</v>
      </c>
      <c r="L27" s="10">
        <v>2117.0970000000002</v>
      </c>
    </row>
    <row r="28" spans="1:13" ht="14.25" x14ac:dyDescent="0.2">
      <c r="A28" s="30" t="s">
        <v>47</v>
      </c>
      <c r="B28" s="10">
        <f t="shared" si="8"/>
        <v>2117.0970000000002</v>
      </c>
      <c r="C28" s="12">
        <v>2233.4859999999999</v>
      </c>
      <c r="D28" s="12">
        <f>(11495.6*2204.622)/1000000</f>
        <v>25.343452663199997</v>
      </c>
      <c r="E28" s="12">
        <f t="shared" si="6"/>
        <v>4375.9264526632005</v>
      </c>
      <c r="F28" s="10"/>
      <c r="G28" s="10">
        <v>2030</v>
      </c>
      <c r="H28" s="12">
        <v>811</v>
      </c>
      <c r="I28" s="12">
        <v>1199</v>
      </c>
      <c r="J28" s="12">
        <f>(106506.7*2204.622)/1000000</f>
        <v>234.8070139674</v>
      </c>
      <c r="K28" s="12">
        <f t="shared" si="7"/>
        <v>2265.1404526632004</v>
      </c>
      <c r="L28" s="10">
        <v>2110.7860000000001</v>
      </c>
    </row>
    <row r="29" spans="1:13" ht="14.25" x14ac:dyDescent="0.2">
      <c r="A29" s="30" t="s">
        <v>48</v>
      </c>
      <c r="B29" s="10">
        <f t="shared" si="8"/>
        <v>2110.7860000000001</v>
      </c>
      <c r="C29" s="12">
        <v>2308.752</v>
      </c>
      <c r="D29" s="12">
        <f>(8612.3*2204.622)/1000000</f>
        <v>18.986866050599996</v>
      </c>
      <c r="E29" s="12">
        <f t="shared" si="6"/>
        <v>4438.5248660506004</v>
      </c>
      <c r="F29" s="10"/>
      <c r="G29" s="10">
        <v>1804.7</v>
      </c>
      <c r="H29" s="12">
        <v>682.87599999999998</v>
      </c>
      <c r="I29" s="12">
        <v>1121.7</v>
      </c>
      <c r="J29" s="12">
        <f>(148706.1*2204.622)/1000000</f>
        <v>327.84073959419999</v>
      </c>
      <c r="K29" s="12">
        <f t="shared" si="7"/>
        <v>2132.5338660506004</v>
      </c>
      <c r="L29" s="10">
        <v>2305.991</v>
      </c>
    </row>
    <row r="30" spans="1:13" ht="14.25" x14ac:dyDescent="0.2">
      <c r="A30" s="30" t="s">
        <v>49</v>
      </c>
      <c r="B30" s="10">
        <f t="shared" si="8"/>
        <v>2305.991</v>
      </c>
      <c r="C30" s="12">
        <v>1924.749</v>
      </c>
      <c r="D30" s="12">
        <f>(9731.5*2204.622)/1000000</f>
        <v>21.454278992999996</v>
      </c>
      <c r="E30" s="12">
        <f t="shared" si="6"/>
        <v>4252.1942789929999</v>
      </c>
      <c r="F30" s="10"/>
      <c r="G30" s="10">
        <v>1690.2</v>
      </c>
      <c r="H30" s="12">
        <v>552.22799999999995</v>
      </c>
      <c r="I30" s="12">
        <v>1138.2</v>
      </c>
      <c r="J30" s="12">
        <f>(116113.6*2204.622)/1000000</f>
        <v>255.98659705919999</v>
      </c>
      <c r="K30" s="12">
        <f t="shared" si="7"/>
        <v>1946.2062789930001</v>
      </c>
      <c r="L30" s="10">
        <v>2305.9879999999998</v>
      </c>
    </row>
    <row r="31" spans="1:13" ht="14.25" x14ac:dyDescent="0.2">
      <c r="A31" s="30" t="s">
        <v>50</v>
      </c>
      <c r="B31" s="10">
        <f t="shared" si="8"/>
        <v>2305.9879999999998</v>
      </c>
      <c r="C31" s="12">
        <v>2222.123</v>
      </c>
      <c r="D31" s="12">
        <f>(9663.9*2204.622)/1000000</f>
        <v>21.305246545799996</v>
      </c>
      <c r="E31" s="12">
        <f t="shared" si="6"/>
        <v>4549.4162465458003</v>
      </c>
      <c r="F31" s="10"/>
      <c r="G31" s="10">
        <v>2148.1999999999998</v>
      </c>
      <c r="H31" s="12">
        <v>740.35334330000001</v>
      </c>
      <c r="I31" s="12">
        <v>1408.2</v>
      </c>
      <c r="J31" s="12">
        <f>(70685.2*2204.622)/1000000</f>
        <v>155.83414699439999</v>
      </c>
      <c r="K31" s="12">
        <f t="shared" si="7"/>
        <v>2304.1382465458005</v>
      </c>
      <c r="L31" s="10">
        <v>2245.2779999999998</v>
      </c>
    </row>
    <row r="32" spans="1:13" ht="14.25" x14ac:dyDescent="0.2">
      <c r="A32" s="30" t="s">
        <v>51</v>
      </c>
      <c r="B32" s="10">
        <f t="shared" si="8"/>
        <v>2245.2779999999998</v>
      </c>
      <c r="C32" s="12">
        <v>1991.877</v>
      </c>
      <c r="D32" s="12">
        <f>(9309.5*2204.622)/1000000</f>
        <v>20.523928509000001</v>
      </c>
      <c r="E32" s="12">
        <f t="shared" si="6"/>
        <v>4257.6789285089999</v>
      </c>
      <c r="F32" s="10"/>
      <c r="G32" s="10">
        <v>1950.5</v>
      </c>
      <c r="H32" s="12">
        <v>699.93299999999999</v>
      </c>
      <c r="I32" s="12">
        <f>G32-H32</f>
        <v>1250.567</v>
      </c>
      <c r="J32" s="12">
        <f>(58789.4*2204.622)/1000000</f>
        <v>129.60840460679998</v>
      </c>
      <c r="K32" s="12">
        <f t="shared" si="7"/>
        <v>2080.0909285089997</v>
      </c>
      <c r="L32" s="10">
        <v>2177.5880000000002</v>
      </c>
    </row>
    <row r="33" spans="1:12" ht="14.25" x14ac:dyDescent="0.2">
      <c r="A33" s="30" t="s">
        <v>52</v>
      </c>
      <c r="B33" s="10">
        <f t="shared" ref="B33" si="9">L32</f>
        <v>2177.5880000000002</v>
      </c>
      <c r="C33" s="12">
        <v>2043.135</v>
      </c>
      <c r="D33" s="12">
        <f>(7517.3*2204.622)/1000000</f>
        <v>16.572804960599999</v>
      </c>
      <c r="E33" s="12">
        <f t="shared" ref="E33:E36" si="10">SUM(B33:D33)</f>
        <v>4237.2958049605995</v>
      </c>
      <c r="F33" s="10"/>
      <c r="G33" s="10">
        <f>K33-J33</f>
        <v>2019.0822001577997</v>
      </c>
      <c r="H33" s="12">
        <v>787.56200000000001</v>
      </c>
      <c r="I33" s="12">
        <f>G33-H33</f>
        <v>1231.5202001577995</v>
      </c>
      <c r="J33" s="12">
        <f>(32307.4*2204.622)/1000000</f>
        <v>71.225604802800007</v>
      </c>
      <c r="K33" s="12">
        <f>E33-L33</f>
        <v>2090.3078049605997</v>
      </c>
      <c r="L33" s="10">
        <v>2146.9879999999998</v>
      </c>
    </row>
    <row r="34" spans="1:12" ht="14.25" x14ac:dyDescent="0.2">
      <c r="A34" s="30" t="s">
        <v>53</v>
      </c>
      <c r="B34" s="10">
        <f>L33</f>
        <v>2146.9879999999998</v>
      </c>
      <c r="C34" s="12">
        <v>1908.6489999999999</v>
      </c>
      <c r="D34" s="12">
        <f>(11859.1*2204.622)/1000000</f>
        <v>26.144832760199996</v>
      </c>
      <c r="E34" s="12">
        <f t="shared" si="10"/>
        <v>4081.7818327601999</v>
      </c>
      <c r="F34" s="10"/>
      <c r="G34" s="10">
        <f>K34-J34</f>
        <v>1889.5260091224</v>
      </c>
      <c r="H34" s="12">
        <v>663.33</v>
      </c>
      <c r="I34" s="12">
        <f>G34-H34</f>
        <v>1226.1960091224</v>
      </c>
      <c r="J34" s="12">
        <f>(41549.9*2204.622)/1000000</f>
        <v>91.601823637799995</v>
      </c>
      <c r="K34" s="12">
        <f>E34-L34</f>
        <v>1981.1278327601999</v>
      </c>
      <c r="L34" s="10">
        <v>2100.654</v>
      </c>
    </row>
    <row r="35" spans="1:12" ht="14.25" x14ac:dyDescent="0.2">
      <c r="A35" s="30" t="s">
        <v>55</v>
      </c>
      <c r="B35" s="10">
        <f>L34</f>
        <v>2100.654</v>
      </c>
      <c r="C35" s="12">
        <v>1972.6880000000001</v>
      </c>
      <c r="D35" s="12">
        <f>(14747.4*2204.622)/1000000</f>
        <v>32.512442482799997</v>
      </c>
      <c r="E35" s="12">
        <f t="shared" si="10"/>
        <v>4105.8544424827996</v>
      </c>
      <c r="F35" s="10"/>
      <c r="G35" s="10">
        <f>K35-J35</f>
        <v>2000.0640604969997</v>
      </c>
      <c r="H35" s="12">
        <v>791.97900000000004</v>
      </c>
      <c r="I35" s="12">
        <f>G35-H35</f>
        <v>1208.0850604969996</v>
      </c>
      <c r="J35" s="12">
        <f>(16183.9*2204.622)/1000000</f>
        <v>35.679381985799999</v>
      </c>
      <c r="K35" s="12">
        <f>E35-L35</f>
        <v>2035.7434424827998</v>
      </c>
      <c r="L35" s="10">
        <v>2070.1109999999999</v>
      </c>
    </row>
    <row r="36" spans="1:12" ht="14.25" x14ac:dyDescent="0.2">
      <c r="A36" s="30" t="s">
        <v>56</v>
      </c>
      <c r="B36" s="10">
        <f>L35</f>
        <v>2070.1109999999999</v>
      </c>
      <c r="C36" s="12">
        <v>1989.7329999999999</v>
      </c>
      <c r="D36" s="12">
        <f>(19317.4*2204.622)/1000000</f>
        <v>42.5875650228</v>
      </c>
      <c r="E36" s="12">
        <f t="shared" si="10"/>
        <v>4102.4315650228</v>
      </c>
      <c r="F36" s="10"/>
      <c r="G36" s="10">
        <f>K36-J36</f>
        <v>1894.3565643877998</v>
      </c>
      <c r="H36" s="12" t="s">
        <v>10</v>
      </c>
      <c r="I36" s="12" t="s">
        <v>10</v>
      </c>
      <c r="J36" s="12">
        <f>(11142.5*2204.622)/1000000</f>
        <v>24.565000634999997</v>
      </c>
      <c r="K36" s="12">
        <f>E36-L36</f>
        <v>1918.9215650227998</v>
      </c>
      <c r="L36" s="10">
        <v>2183.5100000000002</v>
      </c>
    </row>
    <row r="37" spans="1:12" ht="14.25" x14ac:dyDescent="0.2">
      <c r="A37" s="24" t="s">
        <v>123</v>
      </c>
      <c r="B37" s="83"/>
      <c r="C37" s="61">
        <f>SUM(C26:C36)</f>
        <v>23084.455000000002</v>
      </c>
      <c r="D37" s="61">
        <f>SUM(D26:D36)</f>
        <v>267.12699294959998</v>
      </c>
      <c r="E37" s="61">
        <f>B26+C37+D37</f>
        <v>25204.256992949602</v>
      </c>
      <c r="F37" s="83"/>
      <c r="G37" s="83">
        <f>SUM(G26:G36)</f>
        <v>21331.728834164998</v>
      </c>
      <c r="H37" s="61">
        <f>SUM(H26:H36)</f>
        <v>7269.2613433000006</v>
      </c>
      <c r="I37" s="61">
        <f>SUM(I26:I36)</f>
        <v>12141.568269777199</v>
      </c>
      <c r="J37" s="61">
        <f>SUM(J26:J36)</f>
        <v>1689.6311192879998</v>
      </c>
      <c r="K37" s="83">
        <f>SUM(K26:K36)</f>
        <v>23020.746992949604</v>
      </c>
      <c r="L37" s="83"/>
    </row>
    <row r="38" spans="1:12" ht="16.5" x14ac:dyDescent="0.2">
      <c r="A38" s="77" t="s">
        <v>153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ht="14.25" x14ac:dyDescent="0.2">
      <c r="A39" s="26" t="s">
        <v>91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1:12" ht="14.25" x14ac:dyDescent="0.2">
      <c r="A40" s="32" t="s">
        <v>18</v>
      </c>
      <c r="B40" s="66">
        <f ca="1">NOW()</f>
        <v>44482.587913078707</v>
      </c>
    </row>
  </sheetData>
  <mergeCells count="3">
    <mergeCell ref="B5:L5"/>
    <mergeCell ref="G2:I2"/>
    <mergeCell ref="B2:E2"/>
  </mergeCells>
  <phoneticPr fontId="11" type="noConversion"/>
  <pageMargins left="0.75" right="0.75" top="1" bottom="1" header="0.5" footer="0.5"/>
  <pageSetup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54"/>
  <sheetViews>
    <sheetView showGridLines="0" zoomScaleNormal="100" workbookViewId="0"/>
  </sheetViews>
  <sheetFormatPr defaultRowHeight="12.75" x14ac:dyDescent="0.2"/>
  <cols>
    <col min="1" max="1" width="14.7109375" style="25" customWidth="1"/>
    <col min="2" max="2" width="12.7109375" style="25" customWidth="1"/>
    <col min="3" max="3" width="12.140625" style="25" customWidth="1"/>
    <col min="4" max="4" width="13.42578125" style="25" customWidth="1"/>
    <col min="5" max="5" width="15.28515625" style="25" customWidth="1"/>
    <col min="6" max="6" width="10.5703125" style="25" customWidth="1"/>
    <col min="7" max="7" width="11.7109375" style="25" customWidth="1"/>
    <col min="8" max="8" width="8.7109375" style="25" customWidth="1"/>
    <col min="9" max="9" width="9.7109375" style="25" customWidth="1"/>
    <col min="10" max="11" width="7.7109375" style="25" customWidth="1"/>
    <col min="12" max="12" width="8.5703125" style="25" customWidth="1"/>
    <col min="13" max="13" width="9.5703125" style="25" customWidth="1"/>
    <col min="14" max="15" width="7.5703125" style="25" customWidth="1"/>
    <col min="16" max="18" width="9.140625" style="25"/>
    <col min="19" max="19" width="17.42578125" style="25" bestFit="1" customWidth="1"/>
    <col min="20" max="20" width="9.140625" style="25"/>
    <col min="21" max="21" width="28.28515625" style="25" bestFit="1" customWidth="1"/>
    <col min="22" max="16384" width="9.140625" style="25"/>
  </cols>
  <sheetData>
    <row r="1" spans="1:15" ht="14.25" x14ac:dyDescent="0.2">
      <c r="A1" s="24" t="s">
        <v>134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/>
      <c r="O1" s="26"/>
    </row>
    <row r="2" spans="1:15" ht="14.25" x14ac:dyDescent="0.2">
      <c r="A2" s="26"/>
      <c r="B2" s="165" t="s">
        <v>0</v>
      </c>
      <c r="C2" s="165"/>
      <c r="D2" s="165"/>
      <c r="E2" s="165"/>
      <c r="F2" s="123"/>
      <c r="G2" s="165" t="s">
        <v>17</v>
      </c>
      <c r="H2" s="165"/>
      <c r="I2" s="165"/>
      <c r="J2" s="165"/>
      <c r="K2" s="123"/>
      <c r="L2" s="26"/>
      <c r="M2" s="26"/>
      <c r="N2" s="26"/>
      <c r="O2" s="26"/>
    </row>
    <row r="3" spans="1:15" ht="14.25" x14ac:dyDescent="0.2">
      <c r="A3" s="26" t="s">
        <v>61</v>
      </c>
      <c r="B3" s="32" t="s">
        <v>28</v>
      </c>
      <c r="C3" s="32"/>
      <c r="D3" s="32"/>
      <c r="E3" s="32"/>
      <c r="F3" s="124"/>
      <c r="G3" s="32"/>
      <c r="H3" s="32"/>
      <c r="I3" s="32"/>
      <c r="J3" s="32"/>
      <c r="K3" s="28" t="s">
        <v>26</v>
      </c>
      <c r="L3" s="26"/>
      <c r="M3" s="26"/>
      <c r="N3" s="26"/>
      <c r="O3" s="26"/>
    </row>
    <row r="4" spans="1:15" ht="14.25" x14ac:dyDescent="0.2">
      <c r="A4" s="33" t="s">
        <v>63</v>
      </c>
      <c r="B4" s="35" t="s">
        <v>42</v>
      </c>
      <c r="C4" s="98" t="s">
        <v>1</v>
      </c>
      <c r="D4" s="37" t="s">
        <v>29</v>
      </c>
      <c r="E4" s="35" t="s">
        <v>70</v>
      </c>
      <c r="F4" s="36"/>
      <c r="G4" s="35" t="s">
        <v>32</v>
      </c>
      <c r="H4" s="35" t="s">
        <v>4</v>
      </c>
      <c r="I4" s="35" t="s">
        <v>33</v>
      </c>
      <c r="J4" s="35" t="s">
        <v>30</v>
      </c>
      <c r="K4" s="35" t="s">
        <v>25</v>
      </c>
      <c r="L4" s="26"/>
      <c r="M4" s="26"/>
      <c r="N4" s="26"/>
      <c r="O4" s="26"/>
    </row>
    <row r="5" spans="1:15" ht="14.25" x14ac:dyDescent="0.2">
      <c r="A5" s="26"/>
      <c r="B5" s="168" t="s">
        <v>14</v>
      </c>
      <c r="C5" s="168"/>
      <c r="D5" s="168"/>
      <c r="E5" s="168"/>
      <c r="F5" s="168"/>
      <c r="G5" s="168"/>
      <c r="H5" s="168"/>
      <c r="I5" s="168"/>
      <c r="J5" s="168"/>
      <c r="K5" s="168"/>
      <c r="L5" s="26"/>
      <c r="M5" s="26"/>
      <c r="N5" s="26"/>
      <c r="O5" s="26"/>
    </row>
    <row r="6" spans="1:15" ht="14.25" x14ac:dyDescent="0.2">
      <c r="A6" s="26" t="s">
        <v>114</v>
      </c>
      <c r="B6" s="125">
        <v>476.97603460691334</v>
      </c>
      <c r="C6" s="125">
        <v>5945</v>
      </c>
      <c r="D6" s="126">
        <v>1.0880000000000001</v>
      </c>
      <c r="E6" s="125">
        <v>6423.0879999999997</v>
      </c>
      <c r="F6" s="127"/>
      <c r="G6" s="125">
        <v>1712.0099999999998</v>
      </c>
      <c r="H6" s="128">
        <v>340.64748459156186</v>
      </c>
      <c r="I6" s="125">
        <v>3914.4029999999993</v>
      </c>
      <c r="J6" s="129">
        <f>E6-K6</f>
        <v>5967.0811380282848</v>
      </c>
      <c r="K6" s="125">
        <v>456.0068619717149</v>
      </c>
      <c r="L6" s="26"/>
      <c r="M6" s="26"/>
      <c r="N6" s="26"/>
      <c r="O6" s="26"/>
    </row>
    <row r="7" spans="1:15" ht="16.5" x14ac:dyDescent="0.2">
      <c r="A7" s="30" t="s">
        <v>117</v>
      </c>
      <c r="B7" s="129">
        <f>K6</f>
        <v>456.0068619717149</v>
      </c>
      <c r="C7" s="129">
        <v>4509</v>
      </c>
      <c r="D7" s="130">
        <v>1</v>
      </c>
      <c r="E7" s="129">
        <f>B7+C7+D7</f>
        <v>4966.0068619717149</v>
      </c>
      <c r="F7" s="131"/>
      <c r="G7" s="129">
        <v>1562.7429999999999</v>
      </c>
      <c r="H7" s="132">
        <v>282.68453874670092</v>
      </c>
      <c r="I7" s="129">
        <f>J7-G7-H7</f>
        <v>2762.0677753251334</v>
      </c>
      <c r="J7" s="129">
        <f>E7-K7</f>
        <v>4607.4953140718344</v>
      </c>
      <c r="K7" s="129">
        <v>358.5115478998805</v>
      </c>
      <c r="L7" s="26"/>
      <c r="M7" s="26"/>
      <c r="N7" s="26"/>
      <c r="O7" s="26"/>
    </row>
    <row r="8" spans="1:15" ht="16.5" x14ac:dyDescent="0.2">
      <c r="A8" s="24" t="s">
        <v>147</v>
      </c>
      <c r="B8" s="133">
        <f>K7</f>
        <v>358.5115478998805</v>
      </c>
      <c r="C8" s="133">
        <v>5491</v>
      </c>
      <c r="D8" s="134">
        <v>50</v>
      </c>
      <c r="E8" s="133">
        <f>B8+C8+D8</f>
        <v>5899.5115478998805</v>
      </c>
      <c r="F8" s="135"/>
      <c r="G8" s="133">
        <v>1775</v>
      </c>
      <c r="H8" s="136">
        <v>300</v>
      </c>
      <c r="I8" s="133">
        <v>3370.6</v>
      </c>
      <c r="J8" s="133">
        <f>E8-K8</f>
        <v>5445.6</v>
      </c>
      <c r="K8" s="133">
        <v>453.91154789988013</v>
      </c>
      <c r="L8" s="26"/>
      <c r="M8" s="26"/>
      <c r="N8" s="26"/>
      <c r="O8" s="26"/>
    </row>
    <row r="9" spans="1:15" ht="16.5" x14ac:dyDescent="0.2">
      <c r="A9" s="77" t="s">
        <v>92</v>
      </c>
      <c r="B9" s="26"/>
      <c r="C9" s="127"/>
      <c r="D9" s="127"/>
      <c r="E9" s="127"/>
      <c r="F9" s="127"/>
      <c r="G9" s="137"/>
      <c r="H9" s="127"/>
      <c r="I9" s="127"/>
      <c r="J9" s="127"/>
      <c r="K9" s="26"/>
      <c r="L9" s="26"/>
      <c r="M9" s="26"/>
      <c r="N9" s="26"/>
      <c r="O9" s="26"/>
    </row>
    <row r="10" spans="1:15" ht="14.25" x14ac:dyDescent="0.2">
      <c r="A10" s="26" t="s">
        <v>145</v>
      </c>
      <c r="B10" s="45"/>
      <c r="C10" s="53"/>
      <c r="D10" s="26"/>
      <c r="E10" s="45"/>
      <c r="F10" s="45"/>
      <c r="G10" s="45"/>
      <c r="H10" s="45"/>
      <c r="I10" s="45"/>
      <c r="J10" s="45"/>
      <c r="K10" s="26"/>
      <c r="L10" s="26"/>
      <c r="M10" s="26"/>
      <c r="N10" s="26"/>
      <c r="O10" s="26"/>
    </row>
    <row r="11" spans="1:15" ht="14.25" x14ac:dyDescent="0.2">
      <c r="A11" s="26" t="s">
        <v>118</v>
      </c>
      <c r="B11" s="45"/>
      <c r="C11" s="53"/>
      <c r="D11" s="26"/>
      <c r="E11" s="45"/>
      <c r="F11" s="45"/>
      <c r="G11" s="45"/>
      <c r="H11" s="45"/>
      <c r="I11" s="45"/>
      <c r="J11" s="45"/>
      <c r="K11" s="26"/>
      <c r="L11" s="26"/>
      <c r="M11" s="26"/>
      <c r="N11" s="26"/>
      <c r="O11" s="26"/>
    </row>
    <row r="12" spans="1:15" ht="14.25" x14ac:dyDescent="0.2">
      <c r="A12" s="26"/>
      <c r="B12" s="45"/>
      <c r="C12" s="53"/>
      <c r="D12" s="26"/>
      <c r="E12" s="45"/>
      <c r="F12" s="45"/>
      <c r="G12" s="45"/>
      <c r="H12" s="45"/>
      <c r="I12" s="45"/>
      <c r="J12" s="45"/>
      <c r="K12" s="26"/>
      <c r="L12" s="26"/>
      <c r="M12" s="26"/>
      <c r="N12" s="26"/>
      <c r="O12" s="26"/>
    </row>
    <row r="13" spans="1:15" ht="14.25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ht="14.25" x14ac:dyDescent="0.2">
      <c r="A14" s="24" t="s">
        <v>135</v>
      </c>
      <c r="B14" s="24"/>
      <c r="C14" s="24"/>
      <c r="D14" s="24"/>
      <c r="E14" s="24"/>
      <c r="F14" s="24"/>
      <c r="G14" s="24"/>
      <c r="H14" s="24"/>
      <c r="I14" s="26"/>
      <c r="J14" s="24"/>
      <c r="K14" s="26"/>
      <c r="L14" s="26"/>
      <c r="M14" s="26"/>
      <c r="N14" s="26"/>
      <c r="O14" s="26"/>
    </row>
    <row r="15" spans="1:15" ht="14.25" x14ac:dyDescent="0.2">
      <c r="A15" s="26"/>
      <c r="B15" s="165" t="s">
        <v>0</v>
      </c>
      <c r="C15" s="165"/>
      <c r="D15" s="165"/>
      <c r="E15" s="165"/>
      <c r="F15" s="26"/>
      <c r="G15" s="165" t="s">
        <v>17</v>
      </c>
      <c r="H15" s="165"/>
      <c r="I15" s="165"/>
      <c r="J15" s="26"/>
      <c r="K15" s="26"/>
      <c r="L15" s="26"/>
      <c r="M15" s="26"/>
      <c r="N15" s="26"/>
      <c r="O15" s="26"/>
    </row>
    <row r="16" spans="1:15" ht="14.25" x14ac:dyDescent="0.2">
      <c r="A16" s="26" t="s">
        <v>61</v>
      </c>
      <c r="B16" s="28" t="s">
        <v>28</v>
      </c>
      <c r="C16" s="32"/>
      <c r="D16" s="32"/>
      <c r="E16" s="32"/>
      <c r="F16" s="32"/>
      <c r="G16" s="32"/>
      <c r="H16" s="32"/>
      <c r="I16" s="32"/>
      <c r="J16" s="28" t="s">
        <v>26</v>
      </c>
      <c r="K16" s="26"/>
      <c r="L16" s="26"/>
      <c r="M16" s="26"/>
      <c r="N16" s="26"/>
      <c r="O16" s="26"/>
    </row>
    <row r="17" spans="1:15" ht="14.25" x14ac:dyDescent="0.2">
      <c r="A17" s="33" t="s">
        <v>62</v>
      </c>
      <c r="B17" s="35" t="s">
        <v>25</v>
      </c>
      <c r="C17" s="98" t="s">
        <v>1</v>
      </c>
      <c r="D17" s="37" t="s">
        <v>29</v>
      </c>
      <c r="E17" s="35" t="s">
        <v>30</v>
      </c>
      <c r="F17" s="36"/>
      <c r="G17" s="129" t="s">
        <v>9</v>
      </c>
      <c r="H17" s="35" t="s">
        <v>4</v>
      </c>
      <c r="I17" s="37" t="s">
        <v>24</v>
      </c>
      <c r="J17" s="35" t="s">
        <v>25</v>
      </c>
      <c r="K17" s="26"/>
      <c r="L17" s="26"/>
      <c r="M17" s="26"/>
      <c r="N17" s="26"/>
      <c r="O17" s="26"/>
    </row>
    <row r="18" spans="1:15" ht="14.25" x14ac:dyDescent="0.2">
      <c r="A18" s="26"/>
      <c r="B18" s="168" t="s">
        <v>15</v>
      </c>
      <c r="C18" s="168"/>
      <c r="D18" s="168"/>
      <c r="E18" s="168"/>
      <c r="F18" s="168"/>
      <c r="G18" s="168"/>
      <c r="H18" s="168"/>
      <c r="I18" s="168"/>
      <c r="J18" s="168"/>
      <c r="K18" s="26"/>
      <c r="L18" s="26"/>
      <c r="M18" s="26"/>
      <c r="N18" s="26"/>
      <c r="O18" s="26"/>
    </row>
    <row r="19" spans="1:15" ht="14.25" x14ac:dyDescent="0.2">
      <c r="A19" s="26" t="s">
        <v>114</v>
      </c>
      <c r="B19" s="125">
        <v>43</v>
      </c>
      <c r="C19" s="128">
        <v>779.976</v>
      </c>
      <c r="D19" s="126">
        <v>0</v>
      </c>
      <c r="E19" s="128">
        <v>822.976</v>
      </c>
      <c r="F19" s="26"/>
      <c r="G19" s="128">
        <v>688.44474810762813</v>
      </c>
      <c r="H19" s="128">
        <v>109.65925189237197</v>
      </c>
      <c r="I19" s="132">
        <f>SUM(G19:H19)</f>
        <v>798.10400000000004</v>
      </c>
      <c r="J19" s="125">
        <v>24.872</v>
      </c>
      <c r="K19" s="26"/>
      <c r="L19" s="26"/>
      <c r="M19" s="26"/>
      <c r="N19" s="26"/>
      <c r="O19" s="26"/>
    </row>
    <row r="20" spans="1:15" ht="16.5" x14ac:dyDescent="0.2">
      <c r="A20" s="30" t="s">
        <v>117</v>
      </c>
      <c r="B20" s="129">
        <f>J20</f>
        <v>25</v>
      </c>
      <c r="C20" s="132">
        <v>670</v>
      </c>
      <c r="D20" s="130">
        <v>0</v>
      </c>
      <c r="E20" s="132">
        <f>B20+C20+D20</f>
        <v>695</v>
      </c>
      <c r="F20" s="131"/>
      <c r="G20" s="132">
        <v>604.87199999999996</v>
      </c>
      <c r="H20" s="132">
        <v>65</v>
      </c>
      <c r="I20" s="132">
        <f>SUM(G20:H20)</f>
        <v>669.87199999999996</v>
      </c>
      <c r="J20" s="129">
        <v>25</v>
      </c>
      <c r="K20" s="26"/>
      <c r="L20" s="26"/>
      <c r="M20" s="26"/>
      <c r="N20" s="26"/>
      <c r="O20" s="26"/>
    </row>
    <row r="21" spans="1:15" ht="16.5" x14ac:dyDescent="0.2">
      <c r="A21" s="24" t="s">
        <v>147</v>
      </c>
      <c r="B21" s="133">
        <f>J21</f>
        <v>25</v>
      </c>
      <c r="C21" s="136">
        <v>800</v>
      </c>
      <c r="D21" s="134">
        <v>0</v>
      </c>
      <c r="E21" s="136">
        <f>B21+C21+D21</f>
        <v>825</v>
      </c>
      <c r="F21" s="135"/>
      <c r="G21" s="136">
        <v>725</v>
      </c>
      <c r="H21" s="136">
        <v>75</v>
      </c>
      <c r="I21" s="136">
        <f>SUM(G21:H21)</f>
        <v>800</v>
      </c>
      <c r="J21" s="133">
        <v>25</v>
      </c>
      <c r="K21" s="26"/>
      <c r="L21" s="26"/>
      <c r="M21" s="26"/>
      <c r="N21" s="26"/>
      <c r="O21" s="26"/>
    </row>
    <row r="22" spans="1:15" ht="16.5" x14ac:dyDescent="0.2">
      <c r="A22" s="77" t="s">
        <v>92</v>
      </c>
      <c r="B22" s="26"/>
      <c r="C22" s="127"/>
      <c r="D22" s="127"/>
      <c r="E22" s="127"/>
      <c r="F22" s="127"/>
      <c r="G22" s="127"/>
      <c r="H22" s="127"/>
      <c r="I22" s="26"/>
      <c r="J22" s="26"/>
      <c r="K22" s="26"/>
      <c r="L22" s="26"/>
      <c r="M22" s="26"/>
      <c r="N22" s="26"/>
      <c r="O22" s="26"/>
    </row>
    <row r="23" spans="1:15" ht="14.25" x14ac:dyDescent="0.2">
      <c r="A23" s="26" t="s">
        <v>154</v>
      </c>
      <c r="B23" s="131"/>
      <c r="C23" s="131"/>
      <c r="D23" s="131"/>
      <c r="E23" s="131"/>
      <c r="F23" s="131"/>
      <c r="G23" s="131"/>
      <c r="H23" s="131"/>
      <c r="I23" s="26"/>
      <c r="J23" s="26"/>
      <c r="K23" s="26"/>
      <c r="L23" s="26"/>
      <c r="M23" s="26"/>
      <c r="N23" s="26"/>
      <c r="O23" s="26"/>
    </row>
    <row r="24" spans="1:15" ht="14.25" x14ac:dyDescent="0.2">
      <c r="A24" s="30"/>
      <c r="B24" s="45"/>
      <c r="C24" s="45"/>
      <c r="D24" s="45"/>
      <c r="E24" s="45"/>
      <c r="F24" s="45"/>
      <c r="G24" s="45"/>
      <c r="H24" s="45"/>
      <c r="I24" s="26"/>
      <c r="J24" s="26"/>
      <c r="K24" s="26"/>
      <c r="L24" s="26"/>
      <c r="M24" s="26"/>
      <c r="N24" s="26"/>
      <c r="O24" s="26"/>
    </row>
    <row r="25" spans="1:15" ht="14.25" x14ac:dyDescent="0.2">
      <c r="A25" s="30"/>
      <c r="B25" s="45"/>
      <c r="C25" s="53"/>
      <c r="D25" s="45"/>
      <c r="E25" s="45"/>
      <c r="F25" s="45"/>
      <c r="G25" s="45"/>
      <c r="H25" s="45"/>
      <c r="I25" s="26"/>
      <c r="J25" s="26"/>
      <c r="K25" s="26"/>
      <c r="L25" s="26"/>
      <c r="M25" s="26"/>
      <c r="N25" s="26"/>
      <c r="O25" s="26"/>
    </row>
    <row r="26" spans="1:15" ht="14.25" x14ac:dyDescent="0.2">
      <c r="A26" s="24" t="s">
        <v>136</v>
      </c>
      <c r="B26" s="24"/>
      <c r="C26" s="24"/>
      <c r="D26" s="24"/>
      <c r="E26" s="24"/>
      <c r="F26" s="24"/>
      <c r="G26" s="24"/>
      <c r="H26" s="24"/>
      <c r="I26" s="26"/>
      <c r="J26" s="24"/>
      <c r="K26" s="26"/>
      <c r="L26" s="26"/>
      <c r="M26" s="26"/>
      <c r="N26" s="26"/>
      <c r="O26" s="26"/>
    </row>
    <row r="27" spans="1:15" ht="14.25" x14ac:dyDescent="0.2">
      <c r="A27" s="26"/>
      <c r="B27" s="165" t="s">
        <v>0</v>
      </c>
      <c r="C27" s="165"/>
      <c r="D27" s="165"/>
      <c r="E27" s="165"/>
      <c r="F27" s="26"/>
      <c r="G27" s="165" t="s">
        <v>17</v>
      </c>
      <c r="H27" s="165"/>
      <c r="I27" s="165"/>
      <c r="J27" s="26"/>
      <c r="K27" s="26"/>
      <c r="L27" s="26"/>
      <c r="M27" s="26"/>
      <c r="N27" s="26"/>
      <c r="O27" s="26"/>
    </row>
    <row r="28" spans="1:15" ht="14.25" x14ac:dyDescent="0.2">
      <c r="A28" s="26" t="s">
        <v>61</v>
      </c>
      <c r="B28" s="28" t="s">
        <v>28</v>
      </c>
      <c r="C28" s="32"/>
      <c r="D28" s="32"/>
      <c r="E28" s="32"/>
      <c r="F28" s="32"/>
      <c r="G28" s="32"/>
      <c r="H28" s="32"/>
      <c r="I28" s="32"/>
      <c r="J28" s="28" t="s">
        <v>26</v>
      </c>
      <c r="K28" s="26"/>
      <c r="L28" s="26"/>
      <c r="M28" s="26"/>
      <c r="N28" s="26"/>
      <c r="O28" s="26"/>
    </row>
    <row r="29" spans="1:15" ht="14.25" x14ac:dyDescent="0.2">
      <c r="A29" s="33" t="s">
        <v>62</v>
      </c>
      <c r="B29" s="35" t="s">
        <v>25</v>
      </c>
      <c r="C29" s="35" t="s">
        <v>1</v>
      </c>
      <c r="D29" s="37" t="s">
        <v>29</v>
      </c>
      <c r="E29" s="35" t="s">
        <v>30</v>
      </c>
      <c r="F29" s="36"/>
      <c r="G29" s="35" t="s">
        <v>27</v>
      </c>
      <c r="H29" s="35" t="s">
        <v>4</v>
      </c>
      <c r="I29" s="35" t="s">
        <v>24</v>
      </c>
      <c r="J29" s="35" t="s">
        <v>71</v>
      </c>
      <c r="K29" s="26"/>
      <c r="L29" s="26"/>
      <c r="M29" s="26"/>
      <c r="N29" s="26"/>
      <c r="O29" s="26"/>
    </row>
    <row r="30" spans="1:15" ht="14.25" x14ac:dyDescent="0.2">
      <c r="A30" s="26"/>
      <c r="B30" s="168" t="s">
        <v>149</v>
      </c>
      <c r="C30" s="168"/>
      <c r="D30" s="168"/>
      <c r="E30" s="168"/>
      <c r="F30" s="168"/>
      <c r="G30" s="168"/>
      <c r="H30" s="168"/>
      <c r="I30" s="168"/>
      <c r="J30" s="168"/>
      <c r="K30" s="26"/>
      <c r="L30" s="26"/>
      <c r="M30" s="26"/>
      <c r="N30" s="26"/>
      <c r="O30" s="26"/>
    </row>
    <row r="31" spans="1:15" ht="14.25" x14ac:dyDescent="0.2">
      <c r="A31" s="26" t="s">
        <v>114</v>
      </c>
      <c r="B31" s="126">
        <v>35.040999999999997</v>
      </c>
      <c r="C31" s="128">
        <v>481.34800000000001</v>
      </c>
      <c r="D31" s="126">
        <v>0.26666000000000001</v>
      </c>
      <c r="E31" s="138">
        <f>B31+C31+D31</f>
        <v>516.65566000000001</v>
      </c>
      <c r="F31" s="26"/>
      <c r="G31" s="132">
        <f>I31-H31</f>
        <v>388.20178644136797</v>
      </c>
      <c r="H31" s="128">
        <v>83.915873558632001</v>
      </c>
      <c r="I31" s="132">
        <f>E31-J31</f>
        <v>472.11766</v>
      </c>
      <c r="J31" s="132">
        <v>44.537999999999997</v>
      </c>
      <c r="K31" s="26"/>
      <c r="L31" s="26"/>
      <c r="M31" s="26"/>
      <c r="N31" s="26"/>
      <c r="O31" s="26"/>
    </row>
    <row r="32" spans="1:15" ht="16.5" x14ac:dyDescent="0.2">
      <c r="A32" s="30" t="s">
        <v>117</v>
      </c>
      <c r="B32" s="130">
        <f>J31</f>
        <v>44.537999999999997</v>
      </c>
      <c r="C32" s="132">
        <v>415</v>
      </c>
      <c r="D32" s="130">
        <v>14</v>
      </c>
      <c r="E32" s="138">
        <f>B32+C32+D32</f>
        <v>473.53800000000001</v>
      </c>
      <c r="F32" s="131"/>
      <c r="G32" s="132">
        <f>I32-H32</f>
        <v>363.53800000000001</v>
      </c>
      <c r="H32" s="132">
        <v>65</v>
      </c>
      <c r="I32" s="132">
        <f>E32-J32</f>
        <v>428.53800000000001</v>
      </c>
      <c r="J32" s="132">
        <v>45</v>
      </c>
      <c r="K32" s="26"/>
      <c r="L32" s="26"/>
      <c r="M32" s="26"/>
      <c r="N32" s="26"/>
      <c r="O32" s="26"/>
    </row>
    <row r="33" spans="1:15" ht="16.5" x14ac:dyDescent="0.2">
      <c r="A33" s="24" t="s">
        <v>147</v>
      </c>
      <c r="B33" s="134">
        <f>J32</f>
        <v>45</v>
      </c>
      <c r="C33" s="136">
        <v>495</v>
      </c>
      <c r="D33" s="134">
        <v>5</v>
      </c>
      <c r="E33" s="139">
        <f>B33+C33+D33</f>
        <v>545</v>
      </c>
      <c r="F33" s="135"/>
      <c r="G33" s="136">
        <f>I33-H33</f>
        <v>434.35</v>
      </c>
      <c r="H33" s="136">
        <v>65.650000000000006</v>
      </c>
      <c r="I33" s="136">
        <f>E33-J33</f>
        <v>500</v>
      </c>
      <c r="J33" s="136">
        <v>45</v>
      </c>
      <c r="K33" s="26"/>
      <c r="L33" s="26"/>
      <c r="M33" s="26"/>
      <c r="N33" s="26"/>
      <c r="O33" s="26"/>
    </row>
    <row r="34" spans="1:15" ht="16.5" x14ac:dyDescent="0.2">
      <c r="A34" s="77" t="s">
        <v>92</v>
      </c>
      <c r="B34" s="26"/>
      <c r="C34" s="127"/>
      <c r="D34" s="127"/>
      <c r="E34" s="127"/>
      <c r="F34" s="127"/>
      <c r="G34" s="127"/>
      <c r="H34" s="127"/>
      <c r="I34" s="26"/>
      <c r="J34" s="26"/>
      <c r="K34" s="26"/>
      <c r="L34" s="26"/>
      <c r="M34" s="26"/>
      <c r="N34" s="26"/>
      <c r="O34" s="26"/>
    </row>
    <row r="35" spans="1:15" ht="14.25" x14ac:dyDescent="0.2">
      <c r="A35" s="26" t="s">
        <v>154</v>
      </c>
      <c r="B35" s="45"/>
      <c r="C35" s="53"/>
      <c r="D35" s="45"/>
      <c r="E35" s="45"/>
      <c r="F35" s="45"/>
      <c r="G35" s="45"/>
      <c r="H35" s="45"/>
      <c r="I35" s="26"/>
      <c r="J35" s="26"/>
      <c r="K35" s="26"/>
      <c r="L35" s="26"/>
      <c r="M35" s="26"/>
      <c r="N35" s="26"/>
      <c r="O35" s="26"/>
    </row>
    <row r="36" spans="1:15" ht="14.25" x14ac:dyDescent="0.2">
      <c r="A36" s="30"/>
      <c r="B36" s="30"/>
      <c r="C36" s="30"/>
      <c r="D36" s="30"/>
      <c r="E36" s="30"/>
      <c r="F36" s="30"/>
      <c r="G36" s="30"/>
      <c r="H36" s="30"/>
      <c r="I36" s="26"/>
      <c r="J36" s="26"/>
      <c r="K36" s="26"/>
      <c r="L36" s="26"/>
      <c r="M36" s="26"/>
      <c r="N36" s="26"/>
      <c r="O36" s="26"/>
    </row>
    <row r="37" spans="1:15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25" x14ac:dyDescent="0.2">
      <c r="A38" s="24" t="s">
        <v>137</v>
      </c>
      <c r="B38" s="24"/>
      <c r="C38" s="24"/>
      <c r="D38" s="24"/>
      <c r="E38" s="24"/>
      <c r="F38" s="24"/>
      <c r="G38" s="24"/>
      <c r="H38" s="24"/>
      <c r="I38" s="24"/>
      <c r="J38" s="26"/>
      <c r="K38" s="26"/>
      <c r="L38" s="26"/>
      <c r="M38" s="26"/>
      <c r="N38" s="26"/>
      <c r="O38" s="26"/>
    </row>
    <row r="39" spans="1:15" ht="14.25" x14ac:dyDescent="0.2">
      <c r="A39" s="26"/>
      <c r="B39" s="165" t="s">
        <v>19</v>
      </c>
      <c r="C39" s="165"/>
      <c r="D39" s="28" t="s">
        <v>22</v>
      </c>
      <c r="E39" s="165" t="s">
        <v>67</v>
      </c>
      <c r="F39" s="165"/>
      <c r="G39" s="165"/>
      <c r="H39" s="165"/>
      <c r="I39" s="26"/>
      <c r="J39" s="165" t="s">
        <v>17</v>
      </c>
      <c r="K39" s="165"/>
      <c r="L39" s="165"/>
      <c r="M39" s="165"/>
      <c r="N39" s="165"/>
      <c r="O39" s="123"/>
    </row>
    <row r="40" spans="1:15" ht="14.25" x14ac:dyDescent="0.2">
      <c r="A40" s="26" t="s">
        <v>61</v>
      </c>
      <c r="B40" s="28" t="s">
        <v>20</v>
      </c>
      <c r="C40" s="28" t="s">
        <v>21</v>
      </c>
      <c r="D40" s="26"/>
      <c r="E40" s="28" t="s">
        <v>28</v>
      </c>
      <c r="F40" s="28"/>
      <c r="G40" s="28"/>
      <c r="H40" s="28"/>
      <c r="I40" s="26"/>
      <c r="J40" s="140" t="s">
        <v>9</v>
      </c>
      <c r="K40" s="28"/>
      <c r="L40" s="28" t="s">
        <v>73</v>
      </c>
      <c r="M40" s="28"/>
      <c r="N40" s="28"/>
      <c r="O40" s="28" t="s">
        <v>26</v>
      </c>
    </row>
    <row r="41" spans="1:15" ht="14.25" x14ac:dyDescent="0.2">
      <c r="A41" s="33" t="s">
        <v>63</v>
      </c>
      <c r="B41" s="34"/>
      <c r="C41" s="34"/>
      <c r="D41" s="34"/>
      <c r="E41" s="35" t="s">
        <v>25</v>
      </c>
      <c r="F41" s="35" t="s">
        <v>1</v>
      </c>
      <c r="G41" s="35" t="s">
        <v>29</v>
      </c>
      <c r="H41" s="35" t="s">
        <v>30</v>
      </c>
      <c r="I41" s="35"/>
      <c r="J41" s="35" t="s">
        <v>34</v>
      </c>
      <c r="K41" s="35" t="s">
        <v>32</v>
      </c>
      <c r="L41" s="35" t="s">
        <v>5</v>
      </c>
      <c r="M41" s="37" t="s">
        <v>4</v>
      </c>
      <c r="N41" s="35" t="s">
        <v>24</v>
      </c>
      <c r="O41" s="35" t="s">
        <v>71</v>
      </c>
    </row>
    <row r="42" spans="1:15" ht="14.25" x14ac:dyDescent="0.2">
      <c r="A42" s="26"/>
      <c r="B42" s="169" t="s">
        <v>69</v>
      </c>
      <c r="C42" s="170"/>
      <c r="D42" s="141" t="s">
        <v>60</v>
      </c>
      <c r="E42" s="171" t="s">
        <v>16</v>
      </c>
      <c r="F42" s="168"/>
      <c r="G42" s="168"/>
      <c r="H42" s="168"/>
      <c r="I42" s="168"/>
      <c r="J42" s="168"/>
      <c r="K42" s="168"/>
      <c r="L42" s="168"/>
      <c r="M42" s="168"/>
      <c r="N42" s="168"/>
      <c r="O42" s="170"/>
    </row>
    <row r="43" spans="1:15" ht="14.25" x14ac:dyDescent="0.2">
      <c r="A43" s="26"/>
      <c r="B43" s="28"/>
      <c r="C43" s="28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 ht="14.25" x14ac:dyDescent="0.2">
      <c r="A44" s="26" t="s">
        <v>114</v>
      </c>
      <c r="B44" s="125">
        <v>1432.7</v>
      </c>
      <c r="C44" s="125">
        <v>1389.7</v>
      </c>
      <c r="D44" s="129">
        <f>F44*1000/C44</f>
        <v>3933.5734331150607</v>
      </c>
      <c r="E44" s="125">
        <v>2421.09</v>
      </c>
      <c r="F44" s="125">
        <v>5466.4870000000001</v>
      </c>
      <c r="G44" s="132">
        <v>113.82652333129602</v>
      </c>
      <c r="H44" s="129">
        <f>SUM(E44:G44)</f>
        <v>8001.4035233312961</v>
      </c>
      <c r="I44" s="125"/>
      <c r="J44" s="125">
        <v>3221.4</v>
      </c>
      <c r="K44" s="125">
        <v>774.15131240000005</v>
      </c>
      <c r="L44" s="132">
        <f>N44-J44-K44-M44</f>
        <v>277.31027254689639</v>
      </c>
      <c r="M44" s="128">
        <v>1610.288415053104</v>
      </c>
      <c r="N44" s="125">
        <v>5883.1500000000005</v>
      </c>
      <c r="O44" s="125">
        <v>2118.1880000000001</v>
      </c>
    </row>
    <row r="45" spans="1:15" ht="16.5" x14ac:dyDescent="0.2">
      <c r="A45" s="30" t="s">
        <v>117</v>
      </c>
      <c r="B45" s="129">
        <v>1662.5</v>
      </c>
      <c r="C45" s="129">
        <v>1615.2</v>
      </c>
      <c r="D45" s="129">
        <f>F45*1000/C45</f>
        <v>3812.7476473501733</v>
      </c>
      <c r="E45" s="129">
        <f>O44</f>
        <v>2118.1880000000001</v>
      </c>
      <c r="F45" s="129">
        <v>6158.35</v>
      </c>
      <c r="G45" s="132">
        <v>121.04780464882167</v>
      </c>
      <c r="H45" s="129">
        <f>SUM(E45:G45)</f>
        <v>8397.5858046488229</v>
      </c>
      <c r="I45" s="129"/>
      <c r="J45" s="129">
        <v>3357.2</v>
      </c>
      <c r="K45" s="129">
        <v>872.91017669999985</v>
      </c>
      <c r="L45" s="132">
        <f>N45-J45-K45-M45</f>
        <v>782.56198954251931</v>
      </c>
      <c r="M45" s="132">
        <v>1416.7516384063038</v>
      </c>
      <c r="N45" s="129">
        <f>H45-O45</f>
        <v>6429.4238046488226</v>
      </c>
      <c r="O45" s="129">
        <v>1968.162</v>
      </c>
    </row>
    <row r="46" spans="1:15" ht="16.5" x14ac:dyDescent="0.2">
      <c r="A46" s="24" t="s">
        <v>147</v>
      </c>
      <c r="B46" s="133">
        <v>1580</v>
      </c>
      <c r="C46" s="133">
        <v>1533</v>
      </c>
      <c r="D46" s="133">
        <f>F46*1000/C46</f>
        <v>4104.5335942596221</v>
      </c>
      <c r="E46" s="133">
        <f>O45</f>
        <v>1968.162</v>
      </c>
      <c r="F46" s="133">
        <v>6292.25</v>
      </c>
      <c r="G46" s="136">
        <v>115</v>
      </c>
      <c r="H46" s="133">
        <f>SUM(E46:G46)</f>
        <v>8375.4120000000003</v>
      </c>
      <c r="I46" s="133"/>
      <c r="J46" s="133">
        <v>3459.4934971207999</v>
      </c>
      <c r="K46" s="133">
        <v>875</v>
      </c>
      <c r="L46" s="136">
        <f>N46-J46-K46-M46</f>
        <v>647.97499999999991</v>
      </c>
      <c r="M46" s="136">
        <v>1400</v>
      </c>
      <c r="N46" s="133">
        <f>H46-O46</f>
        <v>6382.4684971207998</v>
      </c>
      <c r="O46" s="133">
        <v>1992.9435028792004</v>
      </c>
    </row>
    <row r="47" spans="1:15" ht="16.5" x14ac:dyDescent="0.2">
      <c r="A47" s="77" t="s">
        <v>92</v>
      </c>
      <c r="B47" s="26"/>
      <c r="C47" s="127"/>
      <c r="D47" s="127"/>
      <c r="E47" s="127"/>
      <c r="F47" s="127"/>
      <c r="G47" s="127"/>
      <c r="H47" s="127"/>
      <c r="I47" s="26"/>
      <c r="J47" s="26"/>
      <c r="K47" s="26"/>
      <c r="L47" s="26"/>
      <c r="M47" s="26"/>
      <c r="N47" s="26"/>
      <c r="O47" s="26"/>
    </row>
    <row r="48" spans="1:15" ht="14.25" x14ac:dyDescent="0.2">
      <c r="A48" s="26" t="s">
        <v>146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14.25" x14ac:dyDescent="0.2">
      <c r="A49" s="26" t="s">
        <v>118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14.25" x14ac:dyDescent="0.2">
      <c r="A50" s="32" t="s">
        <v>18</v>
      </c>
      <c r="B50" s="142">
        <f ca="1">NOW()</f>
        <v>44482.587913078707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44.45" customHeight="1" x14ac:dyDescent="0.2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</row>
    <row r="52" spans="1:15" ht="15.75" x14ac:dyDescent="0.25">
      <c r="G52" s="105"/>
      <c r="H52" s="105"/>
    </row>
    <row r="53" spans="1:15" ht="15.75" x14ac:dyDescent="0.25">
      <c r="G53" s="105"/>
      <c r="H53" s="105"/>
    </row>
    <row r="54" spans="1:15" ht="15.75" x14ac:dyDescent="0.25">
      <c r="G54" s="105"/>
      <c r="H54" s="105"/>
    </row>
  </sheetData>
  <mergeCells count="14">
    <mergeCell ref="B39:C39"/>
    <mergeCell ref="B42:C42"/>
    <mergeCell ref="B18:J18"/>
    <mergeCell ref="E39:H39"/>
    <mergeCell ref="B30:J30"/>
    <mergeCell ref="E42:O42"/>
    <mergeCell ref="J39:N39"/>
    <mergeCell ref="G2:J2"/>
    <mergeCell ref="G15:I15"/>
    <mergeCell ref="B15:E15"/>
    <mergeCell ref="B2:E2"/>
    <mergeCell ref="B27:E27"/>
    <mergeCell ref="G27:I27"/>
    <mergeCell ref="B5:K5"/>
  </mergeCells>
  <phoneticPr fontId="11" type="noConversion"/>
  <pageMargins left="0.75" right="0.75" top="1" bottom="1" header="0.5" footer="0.5"/>
  <pageSetup scale="60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49"/>
  <sheetViews>
    <sheetView showGridLines="0" zoomScaleNormal="100" workbookViewId="0"/>
  </sheetViews>
  <sheetFormatPr defaultRowHeight="12.75" x14ac:dyDescent="0.2"/>
  <cols>
    <col min="1" max="1" width="11.7109375" style="25" customWidth="1"/>
    <col min="2" max="2" width="18.85546875" style="25" bestFit="1" customWidth="1"/>
    <col min="3" max="3" width="22.140625" style="25" bestFit="1" customWidth="1"/>
    <col min="4" max="5" width="25.7109375" style="25" bestFit="1" customWidth="1"/>
    <col min="6" max="6" width="16.7109375" style="25" bestFit="1" customWidth="1"/>
    <col min="7" max="7" width="18.85546875" style="25" bestFit="1" customWidth="1"/>
    <col min="8" max="16384" width="9.140625" style="25"/>
  </cols>
  <sheetData>
    <row r="1" spans="1:8" ht="15.6" customHeight="1" x14ac:dyDescent="0.2">
      <c r="A1" s="24" t="s">
        <v>138</v>
      </c>
      <c r="B1" s="24"/>
      <c r="C1" s="24"/>
      <c r="D1" s="24"/>
      <c r="E1" s="24"/>
      <c r="F1" s="24"/>
      <c r="G1" s="24"/>
      <c r="H1" s="78"/>
    </row>
    <row r="2" spans="1:8" ht="15.6" customHeight="1" x14ac:dyDescent="0.2">
      <c r="A2" s="30" t="s">
        <v>11</v>
      </c>
      <c r="B2" s="47" t="s">
        <v>93</v>
      </c>
      <c r="C2" s="47" t="s">
        <v>94</v>
      </c>
      <c r="D2" s="47" t="s">
        <v>95</v>
      </c>
      <c r="E2" s="47" t="s">
        <v>96</v>
      </c>
      <c r="F2" s="47" t="s">
        <v>97</v>
      </c>
      <c r="G2" s="47" t="s">
        <v>98</v>
      </c>
      <c r="H2" s="78"/>
    </row>
    <row r="3" spans="1:8" ht="15.6" customHeight="1" x14ac:dyDescent="0.2">
      <c r="A3" s="24" t="s">
        <v>12</v>
      </c>
      <c r="B3" s="36"/>
      <c r="C3" s="84"/>
      <c r="D3" s="84"/>
      <c r="E3" s="84"/>
      <c r="F3" s="84"/>
      <c r="G3" s="84"/>
      <c r="H3" s="78"/>
    </row>
    <row r="4" spans="1:8" ht="14.25" x14ac:dyDescent="0.2">
      <c r="A4" s="85"/>
      <c r="B4" s="86" t="s">
        <v>126</v>
      </c>
      <c r="C4" s="86" t="s">
        <v>127</v>
      </c>
      <c r="D4" s="86" t="s">
        <v>129</v>
      </c>
      <c r="E4" s="86" t="s">
        <v>129</v>
      </c>
      <c r="F4" s="86" t="s">
        <v>128</v>
      </c>
      <c r="G4" s="86" t="s">
        <v>126</v>
      </c>
      <c r="H4" s="78"/>
    </row>
    <row r="5" spans="1:8" ht="14.25" x14ac:dyDescent="0.2">
      <c r="A5" s="26"/>
      <c r="B5" s="26"/>
      <c r="C5" s="26"/>
      <c r="D5" s="28"/>
      <c r="E5" s="26"/>
      <c r="F5" s="26"/>
      <c r="G5" s="26"/>
      <c r="H5" s="78"/>
    </row>
    <row r="6" spans="1:8" ht="14.25" x14ac:dyDescent="0.2">
      <c r="A6" s="26" t="s">
        <v>43</v>
      </c>
      <c r="B6" s="87">
        <v>11.3</v>
      </c>
      <c r="C6" s="87">
        <v>161</v>
      </c>
      <c r="D6" s="87">
        <v>23.3</v>
      </c>
      <c r="E6" s="87">
        <v>19.3</v>
      </c>
      <c r="F6" s="87">
        <v>22.5</v>
      </c>
      <c r="G6" s="87">
        <v>12.2</v>
      </c>
      <c r="H6" s="78"/>
    </row>
    <row r="7" spans="1:8" ht="14.25" x14ac:dyDescent="0.2">
      <c r="A7" s="26" t="s">
        <v>54</v>
      </c>
      <c r="B7" s="87">
        <v>12.5</v>
      </c>
      <c r="C7" s="87">
        <v>260</v>
      </c>
      <c r="D7" s="87">
        <v>29.1</v>
      </c>
      <c r="E7" s="87">
        <v>24</v>
      </c>
      <c r="F7" s="87">
        <v>31.8</v>
      </c>
      <c r="G7" s="87">
        <v>13.9</v>
      </c>
      <c r="H7" s="78"/>
    </row>
    <row r="8" spans="1:8" ht="14.25" x14ac:dyDescent="0.2">
      <c r="A8" s="26" t="s">
        <v>66</v>
      </c>
      <c r="B8" s="87">
        <v>14.4</v>
      </c>
      <c r="C8" s="87">
        <v>252</v>
      </c>
      <c r="D8" s="87">
        <v>25.4</v>
      </c>
      <c r="E8" s="87">
        <v>26.5</v>
      </c>
      <c r="F8" s="87">
        <v>30.1</v>
      </c>
      <c r="G8" s="87">
        <v>13.8</v>
      </c>
      <c r="H8" s="78"/>
    </row>
    <row r="9" spans="1:8" ht="14.25" x14ac:dyDescent="0.2">
      <c r="A9" s="26" t="s">
        <v>72</v>
      </c>
      <c r="B9" s="87">
        <v>13</v>
      </c>
      <c r="C9" s="87">
        <v>246</v>
      </c>
      <c r="D9" s="87">
        <v>21.4</v>
      </c>
      <c r="E9" s="87">
        <v>20.6</v>
      </c>
      <c r="F9" s="87">
        <v>24.9</v>
      </c>
      <c r="G9" s="87">
        <v>13.8</v>
      </c>
      <c r="H9" s="78"/>
    </row>
    <row r="10" spans="1:8" ht="14.25" x14ac:dyDescent="0.2">
      <c r="A10" s="26" t="s">
        <v>74</v>
      </c>
      <c r="B10" s="87">
        <v>10.1</v>
      </c>
      <c r="C10" s="87">
        <v>194</v>
      </c>
      <c r="D10" s="87">
        <v>21.7</v>
      </c>
      <c r="E10" s="87">
        <v>16.899999999999999</v>
      </c>
      <c r="F10" s="87">
        <v>22</v>
      </c>
      <c r="G10" s="87">
        <v>11.8</v>
      </c>
      <c r="H10" s="78"/>
    </row>
    <row r="11" spans="1:8" ht="14.25" x14ac:dyDescent="0.2">
      <c r="A11" s="26" t="s">
        <v>75</v>
      </c>
      <c r="B11" s="87">
        <v>8.9499999999999993</v>
      </c>
      <c r="C11" s="87">
        <v>227</v>
      </c>
      <c r="D11" s="87">
        <v>19.600000000000001</v>
      </c>
      <c r="E11" s="87">
        <v>15.6</v>
      </c>
      <c r="F11" s="87">
        <v>19.3</v>
      </c>
      <c r="G11" s="87">
        <v>8.9499999999999993</v>
      </c>
      <c r="H11" s="78"/>
    </row>
    <row r="12" spans="1:8" ht="14.25" x14ac:dyDescent="0.2">
      <c r="A12" s="26" t="s">
        <v>87</v>
      </c>
      <c r="B12" s="87">
        <v>9.4700000000000006</v>
      </c>
      <c r="C12" s="87">
        <v>195</v>
      </c>
      <c r="D12" s="87">
        <v>17.399999999999999</v>
      </c>
      <c r="E12" s="87">
        <v>16.600000000000001</v>
      </c>
      <c r="F12" s="87">
        <v>19.7</v>
      </c>
      <c r="G12" s="87">
        <v>8</v>
      </c>
      <c r="H12" s="78"/>
    </row>
    <row r="13" spans="1:8" ht="14.25" x14ac:dyDescent="0.2">
      <c r="A13" s="26" t="s">
        <v>88</v>
      </c>
      <c r="B13" s="87">
        <v>9.33</v>
      </c>
      <c r="C13" s="87">
        <v>142</v>
      </c>
      <c r="D13" s="87">
        <v>17.2</v>
      </c>
      <c r="E13" s="87">
        <v>17.5</v>
      </c>
      <c r="F13" s="87">
        <v>22.9</v>
      </c>
      <c r="G13" s="87">
        <v>9.5299999999999994</v>
      </c>
      <c r="H13" s="78"/>
    </row>
    <row r="14" spans="1:8" ht="14.25" x14ac:dyDescent="0.2">
      <c r="A14" s="26" t="s">
        <v>112</v>
      </c>
      <c r="B14" s="87">
        <v>8.48</v>
      </c>
      <c r="C14" s="87">
        <v>155</v>
      </c>
      <c r="D14" s="87">
        <v>17.399999999999999</v>
      </c>
      <c r="E14" s="87">
        <v>15.8</v>
      </c>
      <c r="F14" s="87">
        <v>21.5</v>
      </c>
      <c r="G14" s="87">
        <v>9.89</v>
      </c>
      <c r="H14" s="78"/>
    </row>
    <row r="15" spans="1:8" ht="14.25" x14ac:dyDescent="0.2">
      <c r="A15" s="26" t="s">
        <v>114</v>
      </c>
      <c r="B15" s="87">
        <v>8.57</v>
      </c>
      <c r="C15" s="87">
        <v>161</v>
      </c>
      <c r="D15" s="87">
        <v>19.5</v>
      </c>
      <c r="E15" s="87">
        <v>14.8</v>
      </c>
      <c r="F15" s="87">
        <v>20.5</v>
      </c>
      <c r="G15" s="87">
        <v>9.15</v>
      </c>
      <c r="H15" s="78"/>
    </row>
    <row r="16" spans="1:8" ht="16.5" x14ac:dyDescent="0.2">
      <c r="A16" s="26" t="s">
        <v>150</v>
      </c>
      <c r="B16" s="87">
        <v>10.8</v>
      </c>
      <c r="C16" s="87">
        <v>194</v>
      </c>
      <c r="D16" s="87">
        <v>21.3</v>
      </c>
      <c r="E16" s="87">
        <v>18.400000000000002</v>
      </c>
      <c r="F16" s="87">
        <v>21</v>
      </c>
      <c r="G16" s="87">
        <v>11.102000000000002</v>
      </c>
      <c r="H16" s="78"/>
    </row>
    <row r="17" spans="1:8" ht="16.5" x14ac:dyDescent="0.2">
      <c r="A17" s="26" t="s">
        <v>151</v>
      </c>
      <c r="B17" s="87">
        <v>12.35</v>
      </c>
      <c r="C17" s="87">
        <v>235</v>
      </c>
      <c r="D17" s="87">
        <v>30.1</v>
      </c>
      <c r="E17" s="87">
        <v>33</v>
      </c>
      <c r="F17" s="87">
        <v>21.5</v>
      </c>
      <c r="G17" s="87">
        <v>23</v>
      </c>
      <c r="H17" s="78"/>
    </row>
    <row r="18" spans="1:8" ht="14.25" x14ac:dyDescent="0.2">
      <c r="A18" s="30"/>
      <c r="B18" s="88"/>
      <c r="C18" s="89"/>
      <c r="D18" s="90"/>
      <c r="E18" s="90"/>
      <c r="F18" s="91"/>
      <c r="G18" s="92"/>
      <c r="H18" s="79"/>
    </row>
    <row r="19" spans="1:8" ht="15" x14ac:dyDescent="0.25">
      <c r="A19" s="93" t="s">
        <v>114</v>
      </c>
      <c r="B19" s="87"/>
      <c r="C19" s="87"/>
      <c r="D19" s="87"/>
      <c r="E19" s="87"/>
      <c r="F19" s="87"/>
      <c r="G19" s="87"/>
    </row>
    <row r="20" spans="1:8" ht="14.25" x14ac:dyDescent="0.2">
      <c r="A20" s="30" t="s">
        <v>58</v>
      </c>
      <c r="B20" s="87">
        <v>8.35</v>
      </c>
      <c r="C20" s="87">
        <v>148</v>
      </c>
      <c r="D20" s="87">
        <v>18.5</v>
      </c>
      <c r="E20" s="87">
        <v>14.2</v>
      </c>
      <c r="F20" s="87">
        <v>19.8</v>
      </c>
      <c r="G20" s="87">
        <v>8.84</v>
      </c>
    </row>
    <row r="21" spans="1:8" ht="14.25" x14ac:dyDescent="0.2">
      <c r="A21" s="30" t="s">
        <v>45</v>
      </c>
      <c r="B21" s="87">
        <v>8.6</v>
      </c>
      <c r="C21" s="87">
        <v>152</v>
      </c>
      <c r="D21" s="87">
        <v>17.5</v>
      </c>
      <c r="E21" s="87">
        <v>14.2</v>
      </c>
      <c r="F21" s="87">
        <v>20.399999999999999</v>
      </c>
      <c r="G21" s="87">
        <v>9.01</v>
      </c>
    </row>
    <row r="22" spans="1:8" ht="14.25" x14ac:dyDescent="0.2">
      <c r="A22" s="30" t="s">
        <v>46</v>
      </c>
      <c r="B22" s="87">
        <v>8.59</v>
      </c>
      <c r="C22" s="87">
        <v>162</v>
      </c>
      <c r="D22" s="87">
        <v>17.7</v>
      </c>
      <c r="E22" s="87">
        <v>14.3</v>
      </c>
      <c r="F22" s="87">
        <v>19.2</v>
      </c>
      <c r="G22" s="87">
        <v>8.6999999999999993</v>
      </c>
    </row>
    <row r="23" spans="1:8" ht="14.25" x14ac:dyDescent="0.2">
      <c r="A23" s="30" t="s">
        <v>47</v>
      </c>
      <c r="B23" s="87">
        <v>8.6999999999999993</v>
      </c>
      <c r="C23" s="87">
        <v>163</v>
      </c>
      <c r="D23" s="87">
        <v>17.8</v>
      </c>
      <c r="E23" s="87">
        <v>14.7</v>
      </c>
      <c r="F23" s="87">
        <v>19.600000000000001</v>
      </c>
      <c r="G23" s="87">
        <v>8.91</v>
      </c>
    </row>
    <row r="24" spans="1:8" ht="14.25" x14ac:dyDescent="0.2">
      <c r="A24" s="30" t="s">
        <v>48</v>
      </c>
      <c r="B24" s="87">
        <v>8.84</v>
      </c>
      <c r="C24" s="87">
        <v>161</v>
      </c>
      <c r="D24" s="87">
        <v>19.5</v>
      </c>
      <c r="E24" s="87">
        <v>16.100000000000001</v>
      </c>
      <c r="F24" s="87">
        <v>20.9</v>
      </c>
      <c r="G24" s="87">
        <v>8.9700000000000006</v>
      </c>
    </row>
    <row r="25" spans="1:8" ht="14.25" x14ac:dyDescent="0.2">
      <c r="A25" s="30" t="s">
        <v>49</v>
      </c>
      <c r="B25" s="87">
        <v>8.6</v>
      </c>
      <c r="C25" s="87">
        <v>190</v>
      </c>
      <c r="D25" s="87">
        <v>20.399999999999999</v>
      </c>
      <c r="E25" s="87">
        <v>16.100000000000001</v>
      </c>
      <c r="F25" s="87">
        <v>20.5</v>
      </c>
      <c r="G25" s="87">
        <v>10.4</v>
      </c>
    </row>
    <row r="26" spans="1:8" ht="14.25" x14ac:dyDescent="0.2">
      <c r="A26" s="30" t="s">
        <v>50</v>
      </c>
      <c r="B26" s="87">
        <v>8.4700000000000006</v>
      </c>
      <c r="C26" s="87" t="s">
        <v>10</v>
      </c>
      <c r="D26" s="87">
        <v>20.9</v>
      </c>
      <c r="E26" s="87">
        <v>15.7</v>
      </c>
      <c r="F26" s="87">
        <v>20.6</v>
      </c>
      <c r="G26" s="87">
        <v>10.7</v>
      </c>
    </row>
    <row r="27" spans="1:8" ht="14.25" x14ac:dyDescent="0.2">
      <c r="A27" s="30" t="s">
        <v>51</v>
      </c>
      <c r="B27" s="87">
        <v>8.35</v>
      </c>
      <c r="C27" s="87" t="s">
        <v>10</v>
      </c>
      <c r="D27" s="87">
        <v>20.3</v>
      </c>
      <c r="E27" s="87">
        <v>15.2</v>
      </c>
      <c r="F27" s="87">
        <v>20.6</v>
      </c>
      <c r="G27" s="87">
        <v>9.31</v>
      </c>
    </row>
    <row r="28" spans="1:8" ht="14.25" x14ac:dyDescent="0.2">
      <c r="A28" s="30" t="s">
        <v>52</v>
      </c>
      <c r="B28" s="87">
        <v>8.2799999999999994</v>
      </c>
      <c r="C28" s="87" t="s">
        <v>10</v>
      </c>
      <c r="D28" s="87">
        <v>20.5</v>
      </c>
      <c r="E28" s="87">
        <v>14.4</v>
      </c>
      <c r="F28" s="87">
        <v>21.1</v>
      </c>
      <c r="G28" s="87">
        <v>9.57</v>
      </c>
    </row>
    <row r="29" spans="1:8" ht="14.25" x14ac:dyDescent="0.2">
      <c r="A29" s="30" t="s">
        <v>53</v>
      </c>
      <c r="B29" s="87">
        <v>8.34</v>
      </c>
      <c r="C29" s="87" t="s">
        <v>10</v>
      </c>
      <c r="D29" s="87">
        <v>21.7</v>
      </c>
      <c r="E29" s="87">
        <v>15.2</v>
      </c>
      <c r="F29" s="87">
        <v>20.7</v>
      </c>
      <c r="G29" s="87">
        <v>10</v>
      </c>
    </row>
    <row r="30" spans="1:8" ht="14.25" x14ac:dyDescent="0.2">
      <c r="A30" s="30" t="s">
        <v>55</v>
      </c>
      <c r="B30" s="87">
        <v>8.5</v>
      </c>
      <c r="C30" s="87" t="s">
        <v>10</v>
      </c>
      <c r="D30" s="87">
        <v>23.7</v>
      </c>
      <c r="E30" s="87">
        <v>15.5</v>
      </c>
      <c r="F30" s="87">
        <v>20.7</v>
      </c>
      <c r="G30" s="87">
        <v>9.64</v>
      </c>
    </row>
    <row r="31" spans="1:8" ht="14.25" x14ac:dyDescent="0.2">
      <c r="A31" s="30" t="s">
        <v>56</v>
      </c>
      <c r="B31" s="87">
        <v>8.66</v>
      </c>
      <c r="C31" s="87">
        <v>155</v>
      </c>
      <c r="D31" s="87">
        <v>25.8</v>
      </c>
      <c r="E31" s="87">
        <v>15.1</v>
      </c>
      <c r="F31" s="87">
        <v>20.6</v>
      </c>
      <c r="G31" s="87">
        <v>8.56</v>
      </c>
    </row>
    <row r="32" spans="1:8" ht="14.25" x14ac:dyDescent="0.2">
      <c r="A32" s="30"/>
      <c r="B32" s="87"/>
      <c r="C32" s="87"/>
      <c r="D32" s="87"/>
      <c r="E32" s="87"/>
      <c r="F32" s="87"/>
      <c r="G32" s="87"/>
    </row>
    <row r="33" spans="1:7" ht="15" x14ac:dyDescent="0.25">
      <c r="A33" s="93" t="s">
        <v>122</v>
      </c>
      <c r="B33" s="87"/>
      <c r="C33" s="87"/>
      <c r="D33" s="87"/>
      <c r="E33" s="87"/>
      <c r="F33" s="87"/>
      <c r="G33" s="87"/>
    </row>
    <row r="34" spans="1:7" ht="14.25" x14ac:dyDescent="0.2">
      <c r="A34" s="30" t="s">
        <v>58</v>
      </c>
      <c r="B34" s="87">
        <v>9.24</v>
      </c>
      <c r="C34" s="87">
        <v>164</v>
      </c>
      <c r="D34" s="87">
        <v>23.7</v>
      </c>
      <c r="E34" s="87">
        <v>16.399999999999999</v>
      </c>
      <c r="F34" s="87">
        <v>20.5</v>
      </c>
      <c r="G34" s="87">
        <v>9.64</v>
      </c>
    </row>
    <row r="35" spans="1:7" ht="14.25" x14ac:dyDescent="0.2">
      <c r="A35" s="30" t="s">
        <v>45</v>
      </c>
      <c r="B35" s="87">
        <v>9.6300000000000008</v>
      </c>
      <c r="C35" s="87">
        <v>189</v>
      </c>
      <c r="D35" s="87">
        <v>19.100000000000001</v>
      </c>
      <c r="E35" s="87">
        <v>16.2</v>
      </c>
      <c r="F35" s="87">
        <v>20.9</v>
      </c>
      <c r="G35" s="87">
        <v>9.76</v>
      </c>
    </row>
    <row r="36" spans="1:7" ht="14.25" x14ac:dyDescent="0.2">
      <c r="A36" s="30" t="s">
        <v>46</v>
      </c>
      <c r="B36" s="87">
        <v>10.3</v>
      </c>
      <c r="C36" s="87">
        <v>199</v>
      </c>
      <c r="D36" s="87">
        <v>18.899999999999999</v>
      </c>
      <c r="E36" s="87">
        <v>18.100000000000001</v>
      </c>
      <c r="F36" s="87">
        <v>21.2</v>
      </c>
      <c r="G36" s="87">
        <v>10.7</v>
      </c>
    </row>
    <row r="37" spans="1:7" ht="14.25" x14ac:dyDescent="0.2">
      <c r="A37" s="30" t="s">
        <v>47</v>
      </c>
      <c r="B37" s="87">
        <v>10.6</v>
      </c>
      <c r="C37" s="87">
        <v>195</v>
      </c>
      <c r="D37" s="87">
        <v>19.2</v>
      </c>
      <c r="E37" s="87">
        <v>17.2</v>
      </c>
      <c r="F37" s="87">
        <v>20.399999999999999</v>
      </c>
      <c r="G37" s="87">
        <v>10.9</v>
      </c>
    </row>
    <row r="38" spans="1:7" ht="14.25" x14ac:dyDescent="0.2">
      <c r="A38" s="30" t="s">
        <v>48</v>
      </c>
      <c r="B38" s="87">
        <v>10.9</v>
      </c>
      <c r="C38" s="87">
        <v>209</v>
      </c>
      <c r="D38" s="87">
        <v>19.5</v>
      </c>
      <c r="E38" s="87">
        <v>18.8</v>
      </c>
      <c r="F38" s="87">
        <v>20.5</v>
      </c>
      <c r="G38" s="87">
        <v>12</v>
      </c>
    </row>
    <row r="39" spans="1:7" ht="14.25" x14ac:dyDescent="0.2">
      <c r="A39" s="30" t="s">
        <v>49</v>
      </c>
      <c r="B39" s="87">
        <v>12.7</v>
      </c>
      <c r="C39" s="87">
        <v>185</v>
      </c>
      <c r="D39" s="87">
        <v>21.4</v>
      </c>
      <c r="E39" s="87">
        <v>20.399999999999999</v>
      </c>
      <c r="F39" s="87">
        <v>20.5</v>
      </c>
      <c r="G39" s="87">
        <v>13.2</v>
      </c>
    </row>
    <row r="40" spans="1:7" ht="14.25" x14ac:dyDescent="0.2">
      <c r="A40" s="30" t="s">
        <v>50</v>
      </c>
      <c r="B40" s="87">
        <v>13.2</v>
      </c>
      <c r="C40" s="87" t="s">
        <v>10</v>
      </c>
      <c r="D40" s="87">
        <v>21.5</v>
      </c>
      <c r="E40" s="87">
        <v>22</v>
      </c>
      <c r="F40" s="87">
        <v>21.2</v>
      </c>
      <c r="G40" s="87">
        <v>15.7</v>
      </c>
    </row>
    <row r="41" spans="1:7" ht="14.25" x14ac:dyDescent="0.2">
      <c r="A41" s="30" t="s">
        <v>51</v>
      </c>
      <c r="B41" s="87">
        <v>13.9</v>
      </c>
      <c r="C41" s="87" t="s">
        <v>10</v>
      </c>
      <c r="D41" s="87">
        <v>23.7</v>
      </c>
      <c r="E41" s="87">
        <v>23.8</v>
      </c>
      <c r="F41" s="87">
        <v>21.4</v>
      </c>
      <c r="G41" s="87">
        <v>18.100000000000001</v>
      </c>
    </row>
    <row r="42" spans="1:7" ht="14.25" x14ac:dyDescent="0.2">
      <c r="A42" s="30" t="s">
        <v>52</v>
      </c>
      <c r="B42" s="87">
        <v>14.8</v>
      </c>
      <c r="C42" s="87" t="s">
        <v>10</v>
      </c>
      <c r="D42" s="87">
        <v>26.4</v>
      </c>
      <c r="E42" s="87">
        <v>26.1</v>
      </c>
      <c r="F42" s="87">
        <v>21.3</v>
      </c>
      <c r="G42" s="87">
        <v>18.3</v>
      </c>
    </row>
    <row r="43" spans="1:7" ht="14.25" x14ac:dyDescent="0.2">
      <c r="A43" s="30" t="s">
        <v>53</v>
      </c>
      <c r="B43" s="87">
        <v>14.5</v>
      </c>
      <c r="C43" s="87" t="s">
        <v>10</v>
      </c>
      <c r="D43" s="87">
        <v>28.4</v>
      </c>
      <c r="E43" s="87">
        <v>26</v>
      </c>
      <c r="F43" s="87">
        <v>21.3</v>
      </c>
      <c r="G43" s="87">
        <v>19.899999999999999</v>
      </c>
    </row>
    <row r="44" spans="1:7" ht="14.25" x14ac:dyDescent="0.2">
      <c r="A44" s="30" t="s">
        <v>55</v>
      </c>
      <c r="B44" s="87">
        <v>14.1</v>
      </c>
      <c r="C44" s="87" t="s">
        <v>10</v>
      </c>
      <c r="D44" s="87">
        <v>28</v>
      </c>
      <c r="E44" s="87">
        <v>27.7</v>
      </c>
      <c r="F44" s="87">
        <v>21.6</v>
      </c>
      <c r="G44" s="87">
        <v>20.100000000000001</v>
      </c>
    </row>
    <row r="45" spans="1:7" ht="14.25" x14ac:dyDescent="0.2">
      <c r="A45" s="24" t="s">
        <v>56</v>
      </c>
      <c r="B45" s="22">
        <v>13.7</v>
      </c>
      <c r="C45" s="22">
        <v>255</v>
      </c>
      <c r="D45" s="22">
        <v>29.4</v>
      </c>
      <c r="E45" s="22">
        <v>30.9</v>
      </c>
      <c r="F45" s="22">
        <v>21.3</v>
      </c>
      <c r="G45" s="22">
        <v>20.2</v>
      </c>
    </row>
    <row r="46" spans="1:7" ht="16.5" x14ac:dyDescent="0.2">
      <c r="A46" s="26" t="s">
        <v>160</v>
      </c>
      <c r="B46" s="26"/>
      <c r="C46" s="26"/>
      <c r="D46" s="26"/>
      <c r="E46" s="26"/>
      <c r="F46" s="26"/>
      <c r="G46" s="26"/>
    </row>
    <row r="47" spans="1:7" ht="14.25" x14ac:dyDescent="0.2">
      <c r="A47" s="26" t="s">
        <v>44</v>
      </c>
      <c r="B47" s="94"/>
      <c r="C47" s="94"/>
      <c r="D47" s="94"/>
      <c r="E47" s="94"/>
      <c r="F47" s="94"/>
      <c r="G47" s="94"/>
    </row>
    <row r="48" spans="1:7" ht="14.25" x14ac:dyDescent="0.2">
      <c r="A48" s="26" t="s">
        <v>99</v>
      </c>
      <c r="B48" s="26"/>
      <c r="C48" s="26"/>
      <c r="D48" s="26"/>
      <c r="E48" s="26"/>
      <c r="F48" s="26"/>
      <c r="G48" s="26"/>
    </row>
    <row r="49" spans="1:7" ht="14.25" x14ac:dyDescent="0.2">
      <c r="A49" s="32" t="s">
        <v>18</v>
      </c>
      <c r="B49" s="66">
        <f ca="1">NOW()</f>
        <v>44482.587913078707</v>
      </c>
      <c r="C49" s="26"/>
      <c r="D49" s="26"/>
      <c r="E49" s="26"/>
      <c r="F49" s="26"/>
      <c r="G49" s="26"/>
    </row>
  </sheetData>
  <phoneticPr fontId="11" type="noConversion"/>
  <pageMargins left="0.75" right="0.75" top="1" bottom="1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T69"/>
  <sheetViews>
    <sheetView showGridLines="0" zoomScaleNormal="100" workbookViewId="0"/>
  </sheetViews>
  <sheetFormatPr defaultRowHeight="12.75" x14ac:dyDescent="0.2"/>
  <cols>
    <col min="1" max="2" width="11.7109375" style="25" customWidth="1"/>
    <col min="3" max="3" width="11.5703125" style="25" customWidth="1"/>
    <col min="4" max="4" width="13.7109375" style="25" customWidth="1"/>
    <col min="5" max="5" width="10.5703125" style="25" customWidth="1"/>
    <col min="6" max="6" width="11.5703125" style="25" bestFit="1" customWidth="1"/>
    <col min="7" max="7" width="10.7109375" style="25" customWidth="1"/>
    <col min="8" max="9" width="10.5703125" style="25" customWidth="1"/>
    <col min="10" max="11" width="9.140625" style="25"/>
    <col min="12" max="12" width="22.28515625" style="25" bestFit="1" customWidth="1"/>
    <col min="13" max="13" width="20.28515625" style="25" bestFit="1" customWidth="1"/>
    <col min="14" max="16384" width="9.140625" style="25"/>
  </cols>
  <sheetData>
    <row r="1" spans="1:9" ht="14.25" x14ac:dyDescent="0.2">
      <c r="A1" s="24" t="s">
        <v>139</v>
      </c>
      <c r="B1" s="24"/>
      <c r="C1" s="24"/>
      <c r="D1" s="24"/>
      <c r="E1" s="24"/>
      <c r="F1" s="24"/>
      <c r="G1" s="24"/>
      <c r="H1" s="24"/>
      <c r="I1" s="26"/>
    </row>
    <row r="2" spans="1:9" ht="15.6" customHeight="1" x14ac:dyDescent="0.2">
      <c r="A2" s="95" t="s">
        <v>11</v>
      </c>
      <c r="B2" s="47" t="s">
        <v>35</v>
      </c>
      <c r="C2" s="47" t="s">
        <v>13</v>
      </c>
      <c r="D2" s="47" t="s">
        <v>65</v>
      </c>
      <c r="E2" s="96" t="s">
        <v>41</v>
      </c>
      <c r="F2" s="96" t="s">
        <v>36</v>
      </c>
      <c r="G2" s="47" t="s">
        <v>40</v>
      </c>
      <c r="H2" s="47" t="s">
        <v>100</v>
      </c>
      <c r="I2" s="97" t="s">
        <v>39</v>
      </c>
    </row>
    <row r="3" spans="1:9" ht="15.6" customHeight="1" x14ac:dyDescent="0.2">
      <c r="A3" s="98" t="s">
        <v>12</v>
      </c>
      <c r="B3" s="35" t="s">
        <v>101</v>
      </c>
      <c r="C3" s="35" t="s">
        <v>102</v>
      </c>
      <c r="D3" s="35" t="s">
        <v>103</v>
      </c>
      <c r="E3" s="35" t="s">
        <v>103</v>
      </c>
      <c r="F3" s="35" t="s">
        <v>104</v>
      </c>
      <c r="G3" s="35" t="s">
        <v>103</v>
      </c>
      <c r="H3" s="35"/>
      <c r="I3" s="35" t="s">
        <v>105</v>
      </c>
    </row>
    <row r="4" spans="1:9" ht="14.25" x14ac:dyDescent="0.2">
      <c r="A4" s="26"/>
      <c r="B4" s="99" t="s">
        <v>130</v>
      </c>
      <c r="C4" s="100"/>
      <c r="D4" s="100"/>
      <c r="E4" s="100"/>
      <c r="F4" s="100"/>
      <c r="G4" s="100"/>
      <c r="H4" s="100"/>
      <c r="I4" s="100"/>
    </row>
    <row r="5" spans="1:9" ht="14.25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9" ht="14.25" x14ac:dyDescent="0.2">
      <c r="A6" s="26" t="s">
        <v>43</v>
      </c>
      <c r="B6" s="87">
        <v>53.2</v>
      </c>
      <c r="C6" s="87">
        <v>54.5</v>
      </c>
      <c r="D6" s="87">
        <v>86.12</v>
      </c>
      <c r="E6" s="87">
        <v>58.68</v>
      </c>
      <c r="F6" s="87">
        <v>77.239999999999995</v>
      </c>
      <c r="G6" s="87">
        <v>60.76</v>
      </c>
      <c r="H6" s="87">
        <v>51.52</v>
      </c>
      <c r="I6" s="87">
        <v>51.34</v>
      </c>
    </row>
    <row r="7" spans="1:9" ht="14.25" x14ac:dyDescent="0.2">
      <c r="A7" s="26" t="s">
        <v>54</v>
      </c>
      <c r="B7" s="87">
        <v>51.9</v>
      </c>
      <c r="C7" s="87">
        <v>53.22</v>
      </c>
      <c r="D7" s="87">
        <v>83.2</v>
      </c>
      <c r="E7" s="87">
        <v>57.19</v>
      </c>
      <c r="F7" s="87">
        <v>100.15</v>
      </c>
      <c r="G7" s="87">
        <v>56.09</v>
      </c>
      <c r="H7" s="87">
        <v>48.11</v>
      </c>
      <c r="I7" s="87">
        <v>50.33</v>
      </c>
    </row>
    <row r="8" spans="1:9" ht="14.25" x14ac:dyDescent="0.2">
      <c r="A8" s="26" t="s">
        <v>66</v>
      </c>
      <c r="B8" s="87">
        <v>47.13</v>
      </c>
      <c r="C8" s="87">
        <v>48.6</v>
      </c>
      <c r="D8" s="87">
        <v>65.87</v>
      </c>
      <c r="E8" s="87">
        <v>56.17</v>
      </c>
      <c r="F8" s="87">
        <v>91.83</v>
      </c>
      <c r="G8" s="87">
        <v>46.66</v>
      </c>
      <c r="H8" s="87">
        <v>51.8</v>
      </c>
      <c r="I8" s="87">
        <v>43.24</v>
      </c>
    </row>
    <row r="9" spans="1:9" ht="14.25" x14ac:dyDescent="0.2">
      <c r="A9" s="26" t="s">
        <v>72</v>
      </c>
      <c r="B9" s="87">
        <v>38.229999999999997</v>
      </c>
      <c r="C9" s="87">
        <v>60.66</v>
      </c>
      <c r="D9" s="87">
        <v>59.12</v>
      </c>
      <c r="E9" s="87">
        <v>43.7</v>
      </c>
      <c r="F9" s="87">
        <v>68.23</v>
      </c>
      <c r="G9" s="87">
        <v>39.43</v>
      </c>
      <c r="H9" s="87">
        <v>43.93</v>
      </c>
      <c r="I9" s="87">
        <v>39.76</v>
      </c>
    </row>
    <row r="10" spans="1:9" ht="14.25" x14ac:dyDescent="0.2">
      <c r="A10" s="26" t="s">
        <v>74</v>
      </c>
      <c r="B10" s="87">
        <v>31.6</v>
      </c>
      <c r="C10" s="87">
        <v>45.74</v>
      </c>
      <c r="D10" s="87">
        <v>66.72</v>
      </c>
      <c r="E10" s="87">
        <v>37.81</v>
      </c>
      <c r="F10" s="87">
        <v>57.96</v>
      </c>
      <c r="G10" s="87">
        <v>37.479999999999997</v>
      </c>
      <c r="H10" s="87">
        <v>33.43</v>
      </c>
      <c r="I10" s="87">
        <v>31.36</v>
      </c>
    </row>
    <row r="11" spans="1:9" ht="14.25" x14ac:dyDescent="0.2">
      <c r="A11" s="26" t="s">
        <v>75</v>
      </c>
      <c r="B11" s="87">
        <v>29.86</v>
      </c>
      <c r="C11" s="87">
        <v>45.87</v>
      </c>
      <c r="D11" s="87">
        <v>57.81</v>
      </c>
      <c r="E11" s="87">
        <v>35.270000000000003</v>
      </c>
      <c r="F11" s="87">
        <v>58.26</v>
      </c>
      <c r="G11" s="87">
        <v>39.25</v>
      </c>
      <c r="H11" s="87">
        <v>32.229999999999997</v>
      </c>
      <c r="I11" s="87">
        <v>30.07</v>
      </c>
    </row>
    <row r="12" spans="1:9" ht="14.25" x14ac:dyDescent="0.2">
      <c r="A12" s="26" t="s">
        <v>87</v>
      </c>
      <c r="B12" s="87">
        <v>32.549999999999997</v>
      </c>
      <c r="C12" s="87">
        <v>40.92</v>
      </c>
      <c r="D12" s="87">
        <v>53.54</v>
      </c>
      <c r="E12" s="87">
        <v>38.729999999999997</v>
      </c>
      <c r="F12" s="87">
        <v>66.73</v>
      </c>
      <c r="G12" s="87">
        <v>37.43</v>
      </c>
      <c r="H12" s="87">
        <v>33.07</v>
      </c>
      <c r="I12" s="87">
        <v>34.75</v>
      </c>
    </row>
    <row r="13" spans="1:9" ht="14.25" x14ac:dyDescent="0.2">
      <c r="A13" s="26" t="s">
        <v>88</v>
      </c>
      <c r="B13" s="87">
        <v>30.04</v>
      </c>
      <c r="C13" s="87">
        <v>31.87</v>
      </c>
      <c r="D13" s="87">
        <v>54.57</v>
      </c>
      <c r="E13" s="87">
        <v>38.270000000000003</v>
      </c>
      <c r="F13" s="87">
        <v>66.72</v>
      </c>
      <c r="G13" s="87">
        <v>30.35</v>
      </c>
      <c r="H13" s="87">
        <v>34.159999999999997</v>
      </c>
      <c r="I13" s="87">
        <v>31.21</v>
      </c>
    </row>
    <row r="14" spans="1:9" ht="14.25" x14ac:dyDescent="0.2">
      <c r="A14" s="26" t="s">
        <v>112</v>
      </c>
      <c r="B14" s="87">
        <v>28.26</v>
      </c>
      <c r="C14" s="87">
        <v>35.14</v>
      </c>
      <c r="D14" s="87">
        <v>53.28</v>
      </c>
      <c r="E14" s="87">
        <v>36.090000000000003</v>
      </c>
      <c r="F14" s="87">
        <v>64.72</v>
      </c>
      <c r="G14" s="87">
        <v>26.93</v>
      </c>
      <c r="H14" s="87">
        <v>31.65</v>
      </c>
      <c r="I14" s="87">
        <v>33.11</v>
      </c>
    </row>
    <row r="15" spans="1:9" ht="14.25" x14ac:dyDescent="0.2">
      <c r="A15" s="26" t="s">
        <v>114</v>
      </c>
      <c r="B15" s="87">
        <v>29.65</v>
      </c>
      <c r="C15" s="87">
        <v>40.18</v>
      </c>
      <c r="D15" s="87">
        <v>65.03</v>
      </c>
      <c r="E15" s="87">
        <v>37.869999999999997</v>
      </c>
      <c r="F15" s="87">
        <v>62</v>
      </c>
      <c r="G15" s="87">
        <v>39.47</v>
      </c>
      <c r="H15" s="87">
        <v>35.75</v>
      </c>
      <c r="I15" s="87">
        <v>38.369999999999997</v>
      </c>
    </row>
    <row r="16" spans="1:9" ht="16.5" x14ac:dyDescent="0.2">
      <c r="A16" s="26" t="s">
        <v>117</v>
      </c>
      <c r="B16" s="87">
        <v>56.87</v>
      </c>
      <c r="C16" s="87">
        <v>80.94</v>
      </c>
      <c r="D16" s="87">
        <v>79.000000000000014</v>
      </c>
      <c r="E16" s="87">
        <v>70.459999999999994</v>
      </c>
      <c r="F16" s="87">
        <v>106.87</v>
      </c>
      <c r="G16" s="87">
        <v>44</v>
      </c>
      <c r="H16" s="87">
        <v>43.5</v>
      </c>
      <c r="I16" s="87">
        <v>39</v>
      </c>
    </row>
    <row r="17" spans="1:20" ht="16.5" x14ac:dyDescent="0.2">
      <c r="A17" s="26" t="s">
        <v>148</v>
      </c>
      <c r="B17" s="87">
        <v>65</v>
      </c>
      <c r="C17" s="87">
        <v>90</v>
      </c>
      <c r="D17" s="87">
        <v>90</v>
      </c>
      <c r="E17" s="87">
        <v>75</v>
      </c>
      <c r="F17" s="87">
        <v>120</v>
      </c>
      <c r="G17" s="87">
        <v>78</v>
      </c>
      <c r="H17" s="87">
        <v>56</v>
      </c>
      <c r="I17" s="87">
        <v>58</v>
      </c>
    </row>
    <row r="18" spans="1:20" ht="14.25" x14ac:dyDescent="0.2">
      <c r="A18" s="26"/>
      <c r="B18" s="45"/>
      <c r="C18" s="89"/>
      <c r="D18" s="101"/>
      <c r="E18" s="101"/>
      <c r="F18" s="101"/>
      <c r="G18" s="101"/>
      <c r="H18" s="26"/>
      <c r="I18" s="26"/>
    </row>
    <row r="19" spans="1:20" ht="15" x14ac:dyDescent="0.25">
      <c r="A19" s="48" t="s">
        <v>114</v>
      </c>
      <c r="B19" s="87"/>
      <c r="C19" s="87"/>
      <c r="D19" s="87"/>
      <c r="E19" s="87"/>
      <c r="F19" s="87"/>
      <c r="G19" s="87"/>
      <c r="H19" s="87"/>
      <c r="I19" s="87"/>
    </row>
    <row r="20" spans="1:20" ht="14.25" x14ac:dyDescent="0.2">
      <c r="A20" s="30" t="s">
        <v>45</v>
      </c>
      <c r="B20" s="87">
        <v>30.14</v>
      </c>
      <c r="C20" s="87">
        <v>37.94</v>
      </c>
      <c r="D20" s="87">
        <v>56</v>
      </c>
      <c r="E20" s="87">
        <v>36.31</v>
      </c>
      <c r="F20" s="87">
        <v>61.5</v>
      </c>
      <c r="G20" s="87">
        <v>28.3</v>
      </c>
      <c r="H20" s="87" t="s">
        <v>10</v>
      </c>
      <c r="I20" s="87" t="s">
        <v>10</v>
      </c>
    </row>
    <row r="21" spans="1:20" ht="14.25" x14ac:dyDescent="0.2">
      <c r="A21" s="30" t="s">
        <v>46</v>
      </c>
      <c r="B21" s="87">
        <v>30.62</v>
      </c>
      <c r="C21" s="87">
        <v>38.4</v>
      </c>
      <c r="D21" s="87">
        <v>56</v>
      </c>
      <c r="E21" s="87">
        <v>36.15</v>
      </c>
      <c r="F21" s="87">
        <v>63.1</v>
      </c>
      <c r="G21" s="87">
        <v>30.36</v>
      </c>
      <c r="H21" s="87" t="s">
        <v>10</v>
      </c>
      <c r="I21" s="87">
        <v>35</v>
      </c>
    </row>
    <row r="22" spans="1:20" ht="14.25" x14ac:dyDescent="0.2">
      <c r="A22" s="30" t="s">
        <v>47</v>
      </c>
      <c r="B22" s="87">
        <v>32.270000000000003</v>
      </c>
      <c r="C22" s="87">
        <v>40.25</v>
      </c>
      <c r="D22" s="87">
        <v>76</v>
      </c>
      <c r="E22" s="87">
        <v>38.06</v>
      </c>
      <c r="F22" s="87">
        <v>60.13</v>
      </c>
      <c r="G22" s="87">
        <v>31.25</v>
      </c>
      <c r="H22" s="87" t="s">
        <v>10</v>
      </c>
      <c r="I22" s="87" t="s">
        <v>10</v>
      </c>
    </row>
    <row r="23" spans="1:20" ht="14.25" x14ac:dyDescent="0.2">
      <c r="A23" s="30" t="s">
        <v>48</v>
      </c>
      <c r="B23" s="87">
        <v>33.04</v>
      </c>
      <c r="C23" s="87">
        <v>40.1</v>
      </c>
      <c r="D23" s="87">
        <v>70</v>
      </c>
      <c r="E23" s="87">
        <v>37.9</v>
      </c>
      <c r="F23" s="87">
        <v>59</v>
      </c>
      <c r="G23" s="87">
        <v>33.299999999999997</v>
      </c>
      <c r="H23" s="87" t="s">
        <v>10</v>
      </c>
      <c r="I23" s="87">
        <v>36.14</v>
      </c>
    </row>
    <row r="24" spans="1:20" ht="14.25" x14ac:dyDescent="0.2">
      <c r="A24" s="30" t="s">
        <v>49</v>
      </c>
      <c r="B24" s="87">
        <v>30.26</v>
      </c>
      <c r="C24" s="87">
        <v>38.5</v>
      </c>
      <c r="D24" s="87">
        <v>70</v>
      </c>
      <c r="E24" s="87">
        <v>35.5</v>
      </c>
      <c r="F24" s="87">
        <v>59</v>
      </c>
      <c r="G24" s="87">
        <v>36</v>
      </c>
      <c r="H24" s="87" t="s">
        <v>10</v>
      </c>
      <c r="I24" s="87">
        <v>38.21</v>
      </c>
    </row>
    <row r="25" spans="1:20" ht="14.25" x14ac:dyDescent="0.2">
      <c r="A25" s="30" t="s">
        <v>50</v>
      </c>
      <c r="B25" s="87">
        <v>27.04</v>
      </c>
      <c r="C25" s="87">
        <v>36.19</v>
      </c>
      <c r="D25" s="87">
        <v>76</v>
      </c>
      <c r="E25" s="87">
        <v>32.880000000000003</v>
      </c>
      <c r="F25" s="87">
        <v>59.75</v>
      </c>
      <c r="G25" s="87">
        <v>36.94</v>
      </c>
      <c r="H25" s="87" t="s">
        <v>10</v>
      </c>
      <c r="I25" s="87">
        <v>35.5</v>
      </c>
      <c r="N25" s="102"/>
      <c r="O25" s="102"/>
      <c r="P25" s="102"/>
      <c r="Q25" s="102"/>
      <c r="R25" s="102"/>
      <c r="S25" s="102"/>
      <c r="T25" s="102"/>
    </row>
    <row r="26" spans="1:20" ht="14.25" x14ac:dyDescent="0.2">
      <c r="A26" s="30" t="s">
        <v>51</v>
      </c>
      <c r="B26" s="87">
        <v>25.69</v>
      </c>
      <c r="C26" s="87">
        <v>37.31</v>
      </c>
      <c r="D26" s="87">
        <v>76</v>
      </c>
      <c r="E26" s="87">
        <v>32.380000000000003</v>
      </c>
      <c r="F26" s="87">
        <v>59.5</v>
      </c>
      <c r="G26" s="87">
        <v>44.88</v>
      </c>
      <c r="H26" s="87">
        <v>32</v>
      </c>
      <c r="I26" s="87">
        <v>37.18</v>
      </c>
    </row>
    <row r="27" spans="1:20" ht="14.25" x14ac:dyDescent="0.2">
      <c r="A27" s="30" t="s">
        <v>52</v>
      </c>
      <c r="B27" s="87">
        <v>25.27</v>
      </c>
      <c r="C27" s="87">
        <v>37.200000000000003</v>
      </c>
      <c r="D27" s="87">
        <v>74</v>
      </c>
      <c r="E27" s="87">
        <v>32.4</v>
      </c>
      <c r="F27" s="87">
        <v>62.1</v>
      </c>
      <c r="G27" s="87">
        <v>47.64</v>
      </c>
      <c r="H27" s="87">
        <v>35.5</v>
      </c>
      <c r="I27" s="87">
        <v>43.95</v>
      </c>
    </row>
    <row r="28" spans="1:20" ht="14.25" x14ac:dyDescent="0.2">
      <c r="A28" s="30" t="s">
        <v>53</v>
      </c>
      <c r="B28" s="87">
        <v>26.61</v>
      </c>
      <c r="C28" s="87">
        <v>36.75</v>
      </c>
      <c r="D28" s="87">
        <v>56</v>
      </c>
      <c r="E28" s="87">
        <v>36.630000000000003</v>
      </c>
      <c r="F28" s="87">
        <v>84.75</v>
      </c>
      <c r="G28" s="87">
        <v>51.34</v>
      </c>
      <c r="H28" s="87">
        <v>36.5</v>
      </c>
      <c r="I28" s="87">
        <v>41.92</v>
      </c>
    </row>
    <row r="29" spans="1:20" ht="14.25" x14ac:dyDescent="0.2">
      <c r="A29" s="30" t="s">
        <v>55</v>
      </c>
      <c r="B29" s="87">
        <v>28.71</v>
      </c>
      <c r="C29" s="87">
        <v>43</v>
      </c>
      <c r="D29" s="87">
        <v>56.4</v>
      </c>
      <c r="E29" s="87">
        <v>40.5</v>
      </c>
      <c r="F29" s="87">
        <v>85</v>
      </c>
      <c r="G29" s="87">
        <v>45.45</v>
      </c>
      <c r="H29" s="87" t="s">
        <v>10</v>
      </c>
      <c r="I29" s="87">
        <v>39.43</v>
      </c>
    </row>
    <row r="30" spans="1:20" ht="14.25" x14ac:dyDescent="0.2">
      <c r="A30" s="30" t="s">
        <v>56</v>
      </c>
      <c r="B30" s="87">
        <v>32.130000000000003</v>
      </c>
      <c r="C30" s="87">
        <v>46.81</v>
      </c>
      <c r="D30" s="87">
        <v>57</v>
      </c>
      <c r="E30" s="87">
        <v>47.81</v>
      </c>
      <c r="F30" s="87">
        <v>90</v>
      </c>
      <c r="G30" s="87">
        <v>44.75</v>
      </c>
      <c r="H30" s="87">
        <v>39</v>
      </c>
      <c r="I30" s="87">
        <v>39.33</v>
      </c>
    </row>
    <row r="31" spans="1:20" ht="14.25" x14ac:dyDescent="0.2">
      <c r="A31" s="30" t="s">
        <v>58</v>
      </c>
      <c r="B31" s="87">
        <v>34.200000000000003</v>
      </c>
      <c r="C31" s="87">
        <v>49.69</v>
      </c>
      <c r="D31" s="87">
        <v>57</v>
      </c>
      <c r="E31" s="87">
        <v>47.94</v>
      </c>
      <c r="F31" s="87">
        <v>90</v>
      </c>
      <c r="G31" s="87">
        <v>43.38</v>
      </c>
      <c r="H31" s="87" t="s">
        <v>10</v>
      </c>
      <c r="I31" s="87">
        <v>37</v>
      </c>
    </row>
    <row r="32" spans="1:20" ht="14.25" x14ac:dyDescent="0.2">
      <c r="A32" s="30"/>
      <c r="B32" s="87"/>
      <c r="C32" s="87"/>
      <c r="D32" s="87"/>
      <c r="E32" s="87"/>
      <c r="F32" s="87"/>
      <c r="G32" s="87"/>
      <c r="H32" s="87"/>
      <c r="I32" s="87"/>
    </row>
    <row r="33" spans="1:10" ht="15" x14ac:dyDescent="0.25">
      <c r="A33" s="48" t="s">
        <v>122</v>
      </c>
      <c r="B33" s="87"/>
      <c r="C33" s="87"/>
      <c r="D33" s="87"/>
      <c r="E33" s="87"/>
      <c r="F33" s="87"/>
      <c r="G33" s="87"/>
      <c r="H33" s="87"/>
      <c r="I33" s="87"/>
    </row>
    <row r="34" spans="1:10" ht="14.25" x14ac:dyDescent="0.2">
      <c r="A34" s="30" t="s">
        <v>45</v>
      </c>
      <c r="B34" s="87">
        <v>33.909999999999997</v>
      </c>
      <c r="C34" s="87">
        <v>48.35</v>
      </c>
      <c r="D34" s="87">
        <v>57</v>
      </c>
      <c r="E34" s="87">
        <v>44.35</v>
      </c>
      <c r="F34" s="87">
        <v>93</v>
      </c>
      <c r="G34" s="87">
        <v>42.4375</v>
      </c>
      <c r="H34" s="87" t="s">
        <v>10</v>
      </c>
      <c r="I34" s="87">
        <v>34.5</v>
      </c>
    </row>
    <row r="35" spans="1:10" ht="14.25" x14ac:dyDescent="0.2">
      <c r="A35" s="30" t="s">
        <v>46</v>
      </c>
      <c r="B35" s="87">
        <v>37.79</v>
      </c>
      <c r="C35" s="87">
        <v>54.4375</v>
      </c>
      <c r="D35" s="87" t="s">
        <v>10</v>
      </c>
      <c r="E35" s="87">
        <v>49.5</v>
      </c>
      <c r="F35" s="87">
        <v>98.75</v>
      </c>
      <c r="G35" s="87">
        <v>42.524999999999999</v>
      </c>
      <c r="H35" s="87">
        <v>41</v>
      </c>
      <c r="I35" s="87">
        <v>34</v>
      </c>
    </row>
    <row r="36" spans="1:10" ht="14.25" x14ac:dyDescent="0.2">
      <c r="A36" s="30" t="s">
        <v>47</v>
      </c>
      <c r="B36" s="87">
        <v>40.85</v>
      </c>
      <c r="C36" s="87">
        <v>59.2</v>
      </c>
      <c r="D36" s="87" t="s">
        <v>10</v>
      </c>
      <c r="E36" s="87">
        <v>51.65</v>
      </c>
      <c r="F36" s="87">
        <v>100</v>
      </c>
      <c r="G36" s="87">
        <v>41.725000000000001</v>
      </c>
      <c r="H36" s="87" t="s">
        <v>10</v>
      </c>
      <c r="I36" s="87">
        <v>36.25</v>
      </c>
    </row>
    <row r="37" spans="1:10" ht="14.25" x14ac:dyDescent="0.2">
      <c r="A37" s="30" t="s">
        <v>48</v>
      </c>
      <c r="B37" s="87">
        <v>44.31</v>
      </c>
      <c r="C37" s="87">
        <v>63.1875</v>
      </c>
      <c r="D37" s="87" t="s">
        <v>10</v>
      </c>
      <c r="E37" s="87">
        <v>53.3125</v>
      </c>
      <c r="F37" s="87">
        <v>90</v>
      </c>
      <c r="G37" s="87">
        <v>43.337499999999999</v>
      </c>
      <c r="H37" s="87" t="s">
        <v>10</v>
      </c>
      <c r="I37" s="87">
        <v>48.129999999999995</v>
      </c>
    </row>
    <row r="38" spans="1:10" ht="14.25" x14ac:dyDescent="0.2">
      <c r="A38" s="30" t="s">
        <v>49</v>
      </c>
      <c r="B38" s="87">
        <v>48.37</v>
      </c>
      <c r="C38" s="87">
        <v>73.625</v>
      </c>
      <c r="D38" s="87" t="s">
        <v>10</v>
      </c>
      <c r="E38" s="87">
        <v>58.9375</v>
      </c>
      <c r="F38" s="87">
        <v>93</v>
      </c>
      <c r="G38" s="87">
        <v>44.945</v>
      </c>
      <c r="H38" s="87" t="s">
        <v>10</v>
      </c>
      <c r="I38" s="87">
        <v>53.125</v>
      </c>
    </row>
    <row r="39" spans="1:10" ht="14.25" x14ac:dyDescent="0.2">
      <c r="A39" s="30" t="s">
        <v>50</v>
      </c>
      <c r="B39" s="87">
        <v>56</v>
      </c>
      <c r="C39" s="87">
        <v>86.9375</v>
      </c>
      <c r="D39" s="87" t="s">
        <v>10</v>
      </c>
      <c r="E39" s="87">
        <v>71.3125</v>
      </c>
      <c r="F39" s="87">
        <v>105.25</v>
      </c>
      <c r="G39" s="87">
        <v>52.05</v>
      </c>
      <c r="H39" s="87">
        <v>55</v>
      </c>
      <c r="I39" s="87">
        <v>55.943333333333328</v>
      </c>
    </row>
    <row r="40" spans="1:10" ht="14.25" x14ac:dyDescent="0.2">
      <c r="A40" s="30" t="s">
        <v>51</v>
      </c>
      <c r="B40" s="87">
        <v>62.88</v>
      </c>
      <c r="C40" s="87">
        <v>92.65</v>
      </c>
      <c r="D40" s="87">
        <v>83</v>
      </c>
      <c r="E40" s="87">
        <v>79.55</v>
      </c>
      <c r="F40" s="87">
        <v>109.2</v>
      </c>
      <c r="G40" s="87">
        <v>59.8125</v>
      </c>
      <c r="H40" s="87" t="s">
        <v>10</v>
      </c>
      <c r="I40" s="87">
        <v>59.3825</v>
      </c>
    </row>
    <row r="41" spans="1:10" ht="14.25" x14ac:dyDescent="0.2">
      <c r="A41" s="30" t="s">
        <v>52</v>
      </c>
      <c r="B41" s="87">
        <v>74.75</v>
      </c>
      <c r="C41" s="87">
        <v>102.1875</v>
      </c>
      <c r="D41" s="87">
        <v>83</v>
      </c>
      <c r="E41" s="87">
        <v>94.0625</v>
      </c>
      <c r="F41" s="87">
        <v>110</v>
      </c>
      <c r="G41" s="87">
        <v>68.25</v>
      </c>
      <c r="H41" s="87">
        <v>58</v>
      </c>
      <c r="I41" s="87">
        <v>64.724999999999994</v>
      </c>
      <c r="J41" s="106"/>
    </row>
    <row r="42" spans="1:10" ht="14.25" x14ac:dyDescent="0.2">
      <c r="A42" s="30" t="s">
        <v>53</v>
      </c>
      <c r="B42" s="87">
        <v>74.75</v>
      </c>
      <c r="C42" s="87">
        <v>100.6875</v>
      </c>
      <c r="D42" s="87" t="s">
        <v>10</v>
      </c>
      <c r="E42" s="87">
        <v>93.5</v>
      </c>
      <c r="F42" s="87">
        <v>108.1875</v>
      </c>
      <c r="G42" s="87">
        <v>67.599999999999994</v>
      </c>
      <c r="H42" s="87" t="s">
        <v>10</v>
      </c>
      <c r="I42" s="87">
        <v>63.666666666666664</v>
      </c>
    </row>
    <row r="43" spans="1:10" ht="14.25" x14ac:dyDescent="0.2">
      <c r="A43" s="30" t="s">
        <v>55</v>
      </c>
      <c r="B43" s="87">
        <v>72.930000000000007</v>
      </c>
      <c r="C43" s="87">
        <v>99.9</v>
      </c>
      <c r="D43" s="87" t="s">
        <v>10</v>
      </c>
      <c r="E43" s="87">
        <v>92.3</v>
      </c>
      <c r="F43" s="87">
        <v>106</v>
      </c>
      <c r="G43" s="87">
        <v>66.094999999999999</v>
      </c>
      <c r="H43" s="87" t="s">
        <v>10</v>
      </c>
      <c r="I43" s="87">
        <v>66.333333333333329</v>
      </c>
    </row>
    <row r="44" spans="1:10" ht="14.25" x14ac:dyDescent="0.2">
      <c r="A44" s="30" t="s">
        <v>56</v>
      </c>
      <c r="B44" s="87">
        <v>70.010000000000005</v>
      </c>
      <c r="C44" s="87">
        <v>96.5</v>
      </c>
      <c r="D44" s="87" t="s">
        <v>10</v>
      </c>
      <c r="E44" s="87">
        <v>81</v>
      </c>
      <c r="F44" s="87">
        <v>108.75</v>
      </c>
      <c r="G44" s="87">
        <v>64.156000000000006</v>
      </c>
      <c r="H44" s="87">
        <v>72.333333333333329</v>
      </c>
      <c r="I44" s="87">
        <v>72</v>
      </c>
    </row>
    <row r="45" spans="1:10" ht="14.25" x14ac:dyDescent="0.2">
      <c r="A45" s="24" t="s">
        <v>58</v>
      </c>
      <c r="B45" s="22">
        <v>65.930000000000007</v>
      </c>
      <c r="C45" s="22">
        <v>93.625</v>
      </c>
      <c r="D45" s="22" t="s">
        <v>10</v>
      </c>
      <c r="E45" s="22">
        <v>76</v>
      </c>
      <c r="F45" s="22">
        <v>105</v>
      </c>
      <c r="G45" s="22">
        <v>53.184999999999995</v>
      </c>
      <c r="H45" s="22" t="s">
        <v>10</v>
      </c>
      <c r="I45" s="22">
        <v>71.75</v>
      </c>
    </row>
    <row r="46" spans="1:10" ht="16.5" x14ac:dyDescent="0.2">
      <c r="A46" s="77" t="s">
        <v>157</v>
      </c>
      <c r="B46" s="104"/>
      <c r="C46" s="104"/>
      <c r="D46" s="104"/>
      <c r="E46" s="104"/>
      <c r="F46" s="104"/>
      <c r="G46" s="104"/>
      <c r="H46" s="104"/>
      <c r="I46" s="104"/>
    </row>
    <row r="47" spans="1:10" ht="16.5" x14ac:dyDescent="0.2">
      <c r="A47" s="26" t="s">
        <v>143</v>
      </c>
      <c r="B47" s="104"/>
      <c r="C47" s="104"/>
      <c r="D47" s="104"/>
      <c r="E47" s="104"/>
      <c r="F47" s="104"/>
      <c r="G47" s="104"/>
      <c r="H47" s="104"/>
      <c r="I47" s="104"/>
    </row>
    <row r="48" spans="1:10" ht="14.25" x14ac:dyDescent="0.2">
      <c r="A48" s="26" t="s">
        <v>183</v>
      </c>
      <c r="B48" s="26"/>
      <c r="C48" s="26"/>
      <c r="D48" s="26"/>
      <c r="E48" s="26"/>
      <c r="F48" s="104"/>
      <c r="G48" s="26"/>
      <c r="H48" s="26"/>
      <c r="I48" s="26"/>
    </row>
    <row r="49" spans="1:9" ht="14.25" x14ac:dyDescent="0.2">
      <c r="A49" s="32" t="s">
        <v>18</v>
      </c>
      <c r="B49" s="66">
        <f ca="1">NOW()</f>
        <v>44482.587913078707</v>
      </c>
      <c r="C49" s="26"/>
      <c r="D49" s="26"/>
      <c r="E49" s="26"/>
      <c r="F49" s="26"/>
      <c r="G49" s="26"/>
      <c r="H49" s="26"/>
      <c r="I49" s="26"/>
    </row>
    <row r="50" spans="1:9" ht="15.75" x14ac:dyDescent="0.25">
      <c r="C50" s="105"/>
      <c r="G50" s="105"/>
      <c r="H50" s="105"/>
      <c r="I50" s="105"/>
    </row>
    <row r="51" spans="1:9" ht="15.75" x14ac:dyDescent="0.25">
      <c r="B51" s="106"/>
      <c r="C51" s="105"/>
      <c r="G51" s="105"/>
      <c r="H51" s="105"/>
      <c r="I51" s="105"/>
    </row>
    <row r="52" spans="1:9" ht="15.75" x14ac:dyDescent="0.25">
      <c r="B52" s="106"/>
      <c r="C52" s="153"/>
      <c r="G52" s="105"/>
      <c r="H52" s="105"/>
      <c r="I52" s="105"/>
    </row>
    <row r="53" spans="1:9" ht="15.75" x14ac:dyDescent="0.25">
      <c r="C53" s="105"/>
      <c r="G53" s="105"/>
      <c r="H53" s="105"/>
      <c r="I53" s="105"/>
    </row>
    <row r="54" spans="1:9" ht="15.75" x14ac:dyDescent="0.25">
      <c r="C54" s="105"/>
      <c r="G54" s="105"/>
      <c r="H54" s="105"/>
      <c r="I54" s="105"/>
    </row>
    <row r="55" spans="1:9" ht="15.75" x14ac:dyDescent="0.25">
      <c r="C55" s="105"/>
      <c r="G55" s="105"/>
      <c r="H55" s="105"/>
      <c r="I55" s="105"/>
    </row>
    <row r="56" spans="1:9" ht="15.75" x14ac:dyDescent="0.25">
      <c r="C56" s="105"/>
      <c r="G56" s="105"/>
      <c r="H56" s="105"/>
      <c r="I56" s="105"/>
    </row>
    <row r="57" spans="1:9" ht="15.75" x14ac:dyDescent="0.25">
      <c r="C57" s="105"/>
      <c r="G57" s="105"/>
      <c r="H57" s="105"/>
      <c r="I57" s="105"/>
    </row>
    <row r="58" spans="1:9" ht="15.75" x14ac:dyDescent="0.25">
      <c r="C58" s="105"/>
      <c r="G58" s="105"/>
      <c r="H58" s="105"/>
      <c r="I58" s="105"/>
    </row>
    <row r="59" spans="1:9" ht="15.75" x14ac:dyDescent="0.25">
      <c r="C59" s="105"/>
      <c r="G59" s="105"/>
      <c r="H59" s="105"/>
      <c r="I59" s="105"/>
    </row>
    <row r="60" spans="1:9" ht="15.75" x14ac:dyDescent="0.25">
      <c r="C60" s="105"/>
      <c r="G60" s="105"/>
      <c r="H60" s="105"/>
      <c r="I60" s="105"/>
    </row>
    <row r="61" spans="1:9" ht="15.75" x14ac:dyDescent="0.25">
      <c r="C61" s="105"/>
      <c r="G61" s="105"/>
      <c r="H61" s="105"/>
      <c r="I61" s="105"/>
    </row>
    <row r="62" spans="1:9" ht="15.75" x14ac:dyDescent="0.25">
      <c r="C62" s="105"/>
      <c r="G62" s="105"/>
      <c r="H62" s="105"/>
      <c r="I62" s="105"/>
    </row>
    <row r="63" spans="1:9" ht="15.75" x14ac:dyDescent="0.25">
      <c r="C63" s="105"/>
      <c r="G63" s="105"/>
      <c r="H63" s="105"/>
      <c r="I63" s="105"/>
    </row>
    <row r="64" spans="1:9" ht="15.75" x14ac:dyDescent="0.25">
      <c r="C64" s="105"/>
      <c r="G64" s="105"/>
      <c r="H64" s="105"/>
      <c r="I64" s="105"/>
    </row>
    <row r="65" spans="3:9" ht="15.75" x14ac:dyDescent="0.25">
      <c r="C65" s="105"/>
      <c r="G65" s="105"/>
      <c r="H65" s="105"/>
      <c r="I65" s="105"/>
    </row>
    <row r="66" spans="3:9" ht="15.75" x14ac:dyDescent="0.25">
      <c r="C66" s="105"/>
      <c r="H66" s="105"/>
      <c r="I66" s="105"/>
    </row>
    <row r="67" spans="3:9" ht="15.75" x14ac:dyDescent="0.25">
      <c r="C67" s="105"/>
      <c r="H67" s="105"/>
      <c r="I67" s="105"/>
    </row>
    <row r="68" spans="3:9" ht="15.75" x14ac:dyDescent="0.25">
      <c r="C68" s="105"/>
      <c r="F68" s="106"/>
      <c r="H68" s="105"/>
      <c r="I68" s="105"/>
    </row>
    <row r="69" spans="3:9" ht="15.75" x14ac:dyDescent="0.25">
      <c r="F69" s="106"/>
      <c r="H69" s="105"/>
      <c r="I69" s="105"/>
    </row>
  </sheetData>
  <phoneticPr fontId="11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E61"/>
  <sheetViews>
    <sheetView showGridLines="0" zoomScaleNormal="100" workbookViewId="0"/>
  </sheetViews>
  <sheetFormatPr defaultRowHeight="12.75" x14ac:dyDescent="0.2"/>
  <cols>
    <col min="1" max="1" width="11.7109375" style="25" customWidth="1"/>
    <col min="2" max="7" width="13.7109375" style="25" customWidth="1"/>
    <col min="8" max="8" width="10.140625" style="25" bestFit="1" customWidth="1"/>
    <col min="9" max="9" width="9.140625" style="25"/>
    <col min="10" max="10" width="20.28515625" style="25" bestFit="1" customWidth="1"/>
    <col min="11" max="13" width="9.140625" style="25"/>
    <col min="14" max="14" width="8.85546875" style="25" customWidth="1"/>
    <col min="15" max="15" width="18" style="25" bestFit="1" customWidth="1"/>
    <col min="16" max="16384" width="9.140625" style="25"/>
  </cols>
  <sheetData>
    <row r="1" spans="1:31" ht="14.25" x14ac:dyDescent="0.2">
      <c r="A1" s="24" t="s">
        <v>140</v>
      </c>
      <c r="B1" s="24"/>
      <c r="C1" s="24"/>
      <c r="D1" s="24"/>
      <c r="E1" s="24"/>
      <c r="F1" s="24"/>
      <c r="G1" s="24"/>
    </row>
    <row r="2" spans="1:31" ht="15.6" customHeight="1" x14ac:dyDescent="0.2">
      <c r="A2" s="30" t="s">
        <v>11</v>
      </c>
      <c r="B2" s="47" t="s">
        <v>35</v>
      </c>
      <c r="C2" s="107" t="s">
        <v>13</v>
      </c>
      <c r="D2" s="107" t="s">
        <v>65</v>
      </c>
      <c r="E2" s="107" t="s">
        <v>36</v>
      </c>
      <c r="F2" s="47" t="s">
        <v>37</v>
      </c>
      <c r="G2" s="28" t="s">
        <v>38</v>
      </c>
      <c r="AE2" s="108"/>
    </row>
    <row r="3" spans="1:31" ht="15.6" customHeight="1" x14ac:dyDescent="0.2">
      <c r="A3" s="24" t="s">
        <v>12</v>
      </c>
      <c r="B3" s="35" t="s">
        <v>106</v>
      </c>
      <c r="C3" s="35" t="s">
        <v>107</v>
      </c>
      <c r="D3" s="35" t="s">
        <v>108</v>
      </c>
      <c r="E3" s="35" t="s">
        <v>109</v>
      </c>
      <c r="F3" s="35" t="s">
        <v>110</v>
      </c>
      <c r="G3" s="35" t="s">
        <v>111</v>
      </c>
      <c r="AE3" s="108"/>
    </row>
    <row r="4" spans="1:31" ht="14.25" x14ac:dyDescent="0.2">
      <c r="A4" s="26"/>
      <c r="B4" s="99" t="s">
        <v>131</v>
      </c>
      <c r="C4" s="100"/>
      <c r="D4" s="100"/>
      <c r="E4" s="100"/>
      <c r="F4" s="100"/>
      <c r="G4" s="100"/>
      <c r="AE4" s="108"/>
    </row>
    <row r="5" spans="1:31" ht="14.25" x14ac:dyDescent="0.2">
      <c r="A5" s="26"/>
      <c r="B5" s="26"/>
      <c r="C5" s="26"/>
      <c r="D5" s="26"/>
      <c r="E5" s="26"/>
      <c r="F5" s="26"/>
      <c r="G5" s="26"/>
      <c r="AE5" s="108"/>
    </row>
    <row r="6" spans="1:31" ht="14.25" x14ac:dyDescent="0.2">
      <c r="A6" s="26" t="s">
        <v>43</v>
      </c>
      <c r="B6" s="87">
        <v>345.52</v>
      </c>
      <c r="C6" s="87">
        <v>273.83999999999997</v>
      </c>
      <c r="D6" s="87">
        <v>219.72</v>
      </c>
      <c r="E6" s="109" t="s">
        <v>10</v>
      </c>
      <c r="F6" s="87">
        <v>263.63</v>
      </c>
      <c r="G6" s="87">
        <v>240.65</v>
      </c>
      <c r="AE6" s="108"/>
    </row>
    <row r="7" spans="1:31" ht="14.25" x14ac:dyDescent="0.2">
      <c r="A7" s="26" t="s">
        <v>54</v>
      </c>
      <c r="B7" s="87">
        <v>393.53</v>
      </c>
      <c r="C7" s="87">
        <v>275.13</v>
      </c>
      <c r="D7" s="87">
        <v>246.75</v>
      </c>
      <c r="E7" s="109" t="s">
        <v>10</v>
      </c>
      <c r="F7" s="87">
        <v>307.58999999999997</v>
      </c>
      <c r="G7" s="87">
        <v>265.68</v>
      </c>
      <c r="AE7" s="108"/>
    </row>
    <row r="8" spans="1:31" ht="14.25" x14ac:dyDescent="0.2">
      <c r="A8" s="26" t="s">
        <v>66</v>
      </c>
      <c r="B8" s="87">
        <v>468.11</v>
      </c>
      <c r="C8" s="87">
        <v>331.52</v>
      </c>
      <c r="D8" s="87">
        <v>241.57</v>
      </c>
      <c r="E8" s="109" t="s">
        <v>10</v>
      </c>
      <c r="F8" s="87">
        <v>354.22</v>
      </c>
      <c r="G8" s="87">
        <v>329.31</v>
      </c>
      <c r="AE8" s="108"/>
    </row>
    <row r="9" spans="1:31" ht="14.25" x14ac:dyDescent="0.2">
      <c r="A9" s="26" t="s">
        <v>72</v>
      </c>
      <c r="B9" s="87">
        <v>489.94</v>
      </c>
      <c r="C9" s="87">
        <v>377.71</v>
      </c>
      <c r="D9" s="87">
        <v>238.87</v>
      </c>
      <c r="E9" s="109" t="s">
        <v>10</v>
      </c>
      <c r="F9" s="87">
        <v>359.7</v>
      </c>
      <c r="G9" s="87">
        <v>337.23</v>
      </c>
      <c r="AE9" s="108"/>
    </row>
    <row r="10" spans="1:31" ht="14.25" x14ac:dyDescent="0.2">
      <c r="A10" s="26" t="s">
        <v>74</v>
      </c>
      <c r="B10" s="87">
        <v>368.49</v>
      </c>
      <c r="C10" s="87">
        <v>304.27</v>
      </c>
      <c r="D10" s="87">
        <v>209.97</v>
      </c>
      <c r="E10" s="109" t="s">
        <v>10</v>
      </c>
      <c r="F10" s="87">
        <v>301.2</v>
      </c>
      <c r="G10" s="87">
        <v>256.58</v>
      </c>
      <c r="AE10" s="108"/>
    </row>
    <row r="11" spans="1:31" ht="14.25" x14ac:dyDescent="0.2">
      <c r="A11" s="26" t="s">
        <v>75</v>
      </c>
      <c r="B11" s="87">
        <v>324.56</v>
      </c>
      <c r="C11" s="87">
        <v>261.19</v>
      </c>
      <c r="D11" s="87">
        <v>153.16999999999999</v>
      </c>
      <c r="E11" s="109" t="s">
        <v>10</v>
      </c>
      <c r="F11" s="87">
        <v>262.2</v>
      </c>
      <c r="G11" s="87">
        <v>260.23</v>
      </c>
      <c r="AE11" s="108"/>
    </row>
    <row r="12" spans="1:31" ht="14.25" x14ac:dyDescent="0.2">
      <c r="A12" s="26" t="s">
        <v>87</v>
      </c>
      <c r="B12" s="87">
        <v>316.88</v>
      </c>
      <c r="C12" s="87">
        <v>208.61</v>
      </c>
      <c r="D12" s="87">
        <v>145.1</v>
      </c>
      <c r="E12" s="109" t="s">
        <v>10</v>
      </c>
      <c r="F12" s="87">
        <v>267.94</v>
      </c>
      <c r="G12" s="87">
        <v>282.49</v>
      </c>
      <c r="AE12" s="108"/>
    </row>
    <row r="13" spans="1:31" ht="14.25" x14ac:dyDescent="0.2">
      <c r="A13" s="26" t="s">
        <v>88</v>
      </c>
      <c r="B13" s="87">
        <v>345.02</v>
      </c>
      <c r="C13" s="87">
        <v>260.88</v>
      </c>
      <c r="D13" s="87">
        <v>173.53</v>
      </c>
      <c r="E13" s="109" t="s">
        <v>10</v>
      </c>
      <c r="F13" s="87">
        <v>291.14999999999998</v>
      </c>
      <c r="G13" s="87">
        <v>239.15</v>
      </c>
    </row>
    <row r="14" spans="1:31" ht="14.25" x14ac:dyDescent="0.2">
      <c r="A14" s="26" t="s">
        <v>112</v>
      </c>
      <c r="B14" s="87">
        <v>308.27999999999997</v>
      </c>
      <c r="C14" s="87">
        <v>228.64</v>
      </c>
      <c r="D14" s="103">
        <v>164.16</v>
      </c>
      <c r="E14" s="109" t="s">
        <v>10</v>
      </c>
      <c r="F14" s="87">
        <v>272.38</v>
      </c>
      <c r="G14" s="87">
        <v>225.77</v>
      </c>
    </row>
    <row r="15" spans="1:31" ht="14.25" x14ac:dyDescent="0.2">
      <c r="A15" s="26" t="s">
        <v>114</v>
      </c>
      <c r="B15" s="87">
        <v>299.5</v>
      </c>
      <c r="C15" s="87">
        <v>247.04</v>
      </c>
      <c r="D15" s="103">
        <v>187.7</v>
      </c>
      <c r="E15" s="109" t="s">
        <v>10</v>
      </c>
      <c r="F15" s="87">
        <v>273.99</v>
      </c>
      <c r="G15" s="87">
        <v>245.88</v>
      </c>
    </row>
    <row r="16" spans="1:31" ht="16.5" x14ac:dyDescent="0.2">
      <c r="A16" s="26" t="s">
        <v>117</v>
      </c>
      <c r="B16" s="87">
        <v>392.31</v>
      </c>
      <c r="C16" s="87">
        <v>375.51</v>
      </c>
      <c r="D16" s="103">
        <v>246.22</v>
      </c>
      <c r="E16" s="109" t="s">
        <v>10</v>
      </c>
      <c r="F16" s="87">
        <v>351.87</v>
      </c>
      <c r="G16" s="87">
        <v>288.12</v>
      </c>
    </row>
    <row r="17" spans="1:16" ht="16.5" x14ac:dyDescent="0.2">
      <c r="A17" s="26" t="s">
        <v>148</v>
      </c>
      <c r="B17" s="87">
        <v>325</v>
      </c>
      <c r="C17" s="87">
        <v>300</v>
      </c>
      <c r="D17" s="103">
        <v>180</v>
      </c>
      <c r="E17" s="109" t="s">
        <v>10</v>
      </c>
      <c r="F17" s="87">
        <v>295</v>
      </c>
      <c r="G17" s="87">
        <v>225</v>
      </c>
    </row>
    <row r="18" spans="1:16" ht="14.25" x14ac:dyDescent="0.2">
      <c r="A18" s="110"/>
      <c r="B18" s="87"/>
      <c r="C18" s="87"/>
      <c r="D18" s="87"/>
      <c r="E18" s="109"/>
      <c r="F18" s="87"/>
      <c r="G18" s="87"/>
      <c r="H18" s="111"/>
    </row>
    <row r="19" spans="1:16" ht="15" x14ac:dyDescent="0.25">
      <c r="A19" s="48" t="s">
        <v>114</v>
      </c>
      <c r="B19" s="87"/>
      <c r="C19" s="87"/>
      <c r="D19" s="87"/>
      <c r="E19" s="109"/>
      <c r="F19" s="87"/>
      <c r="G19" s="87"/>
      <c r="I19" s="112"/>
      <c r="M19" s="112"/>
    </row>
    <row r="20" spans="1:16" ht="14.25" x14ac:dyDescent="0.2">
      <c r="A20" s="26" t="s">
        <v>45</v>
      </c>
      <c r="B20" s="87">
        <v>309.48</v>
      </c>
      <c r="C20" s="87">
        <v>213.13</v>
      </c>
      <c r="D20" s="87">
        <v>169</v>
      </c>
      <c r="E20" s="109" t="s">
        <v>10</v>
      </c>
      <c r="F20" s="87">
        <v>267.89999999999998</v>
      </c>
      <c r="G20" s="87">
        <v>226.5</v>
      </c>
      <c r="I20" s="112"/>
      <c r="J20" s="112"/>
      <c r="K20" s="112"/>
      <c r="L20" s="112"/>
      <c r="M20" s="112"/>
    </row>
    <row r="21" spans="1:16" ht="14.25" x14ac:dyDescent="0.2">
      <c r="A21" s="26" t="s">
        <v>46</v>
      </c>
      <c r="B21" s="87">
        <v>303.13</v>
      </c>
      <c r="C21" s="87">
        <v>233.75</v>
      </c>
      <c r="D21" s="87">
        <v>166.88</v>
      </c>
      <c r="E21" s="109" t="s">
        <v>10</v>
      </c>
      <c r="F21" s="87" t="s">
        <v>10</v>
      </c>
      <c r="G21" s="87">
        <v>226.88</v>
      </c>
      <c r="I21" s="112"/>
      <c r="J21" s="112"/>
      <c r="K21" s="112"/>
      <c r="L21" s="112"/>
      <c r="M21" s="112"/>
    </row>
    <row r="22" spans="1:16" ht="14.25" x14ac:dyDescent="0.2">
      <c r="A22" s="26" t="s">
        <v>47</v>
      </c>
      <c r="B22" s="87">
        <v>299.58999999999997</v>
      </c>
      <c r="C22" s="87">
        <v>250.83</v>
      </c>
      <c r="D22" s="87">
        <v>180</v>
      </c>
      <c r="E22" s="109" t="s">
        <v>10</v>
      </c>
      <c r="F22" s="87" t="s">
        <v>10</v>
      </c>
      <c r="G22" s="87">
        <f>(235+227.5+232.5)/3</f>
        <v>231.66666666666666</v>
      </c>
      <c r="I22" s="112"/>
      <c r="J22" s="112"/>
      <c r="K22" s="112"/>
      <c r="L22" s="112"/>
      <c r="M22" s="112"/>
    </row>
    <row r="23" spans="1:16" ht="14.25" x14ac:dyDescent="0.2">
      <c r="A23" s="26" t="s">
        <v>48</v>
      </c>
      <c r="B23" s="87">
        <v>300.11</v>
      </c>
      <c r="C23" s="87">
        <v>239.38</v>
      </c>
      <c r="D23" s="87">
        <v>185</v>
      </c>
      <c r="E23" s="109" t="s">
        <v>10</v>
      </c>
      <c r="F23" s="87" t="s">
        <v>10</v>
      </c>
      <c r="G23" s="87">
        <v>248.13</v>
      </c>
      <c r="I23" s="112"/>
      <c r="J23" s="112"/>
      <c r="K23" s="112"/>
      <c r="L23" s="112"/>
      <c r="M23" s="112"/>
    </row>
    <row r="24" spans="1:16" ht="14.25" x14ac:dyDescent="0.2">
      <c r="A24" s="26" t="s">
        <v>49</v>
      </c>
      <c r="B24" s="87">
        <v>295.27999999999997</v>
      </c>
      <c r="C24" s="87">
        <v>250.63</v>
      </c>
      <c r="D24" s="87">
        <v>188.13</v>
      </c>
      <c r="E24" s="109" t="s">
        <v>10</v>
      </c>
      <c r="F24" s="87">
        <v>253.67</v>
      </c>
      <c r="G24" s="87">
        <v>262.5</v>
      </c>
      <c r="I24" s="112"/>
      <c r="J24" s="112"/>
      <c r="K24" s="113"/>
    </row>
    <row r="25" spans="1:16" ht="15" x14ac:dyDescent="0.2">
      <c r="A25" s="26" t="s">
        <v>50</v>
      </c>
      <c r="B25" s="87">
        <v>312.38</v>
      </c>
      <c r="C25" s="87">
        <v>259</v>
      </c>
      <c r="D25" s="87">
        <v>180</v>
      </c>
      <c r="E25" s="109" t="s">
        <v>10</v>
      </c>
      <c r="F25" s="87">
        <v>274.75</v>
      </c>
      <c r="G25" s="87">
        <v>263</v>
      </c>
      <c r="I25" s="112"/>
      <c r="J25" s="112"/>
      <c r="K25" s="114"/>
      <c r="M25" s="114"/>
      <c r="N25" s="114"/>
    </row>
    <row r="26" spans="1:16" ht="14.25" x14ac:dyDescent="0.2">
      <c r="A26" s="26" t="s">
        <v>51</v>
      </c>
      <c r="B26" s="87">
        <v>295.39999999999998</v>
      </c>
      <c r="C26" s="87">
        <v>281.88</v>
      </c>
      <c r="D26" s="87">
        <v>183.75</v>
      </c>
      <c r="E26" s="109" t="s">
        <v>10</v>
      </c>
      <c r="F26" s="87">
        <v>274.52999999999997</v>
      </c>
      <c r="G26" s="87">
        <v>260</v>
      </c>
      <c r="I26" s="112"/>
      <c r="J26" s="112"/>
      <c r="K26" s="112"/>
      <c r="L26" s="112"/>
      <c r="M26" s="112"/>
    </row>
    <row r="27" spans="1:16" ht="15" x14ac:dyDescent="0.2">
      <c r="A27" s="26" t="s">
        <v>52</v>
      </c>
      <c r="B27" s="87">
        <v>288.56</v>
      </c>
      <c r="C27" s="87">
        <v>251.88</v>
      </c>
      <c r="D27" s="87">
        <v>180.63</v>
      </c>
      <c r="E27" s="109" t="s">
        <v>10</v>
      </c>
      <c r="F27" s="87">
        <v>276.25</v>
      </c>
      <c r="G27" s="87">
        <v>257.5</v>
      </c>
      <c r="I27" s="112"/>
      <c r="J27" s="112"/>
      <c r="K27" s="112"/>
      <c r="L27" s="114"/>
      <c r="M27" s="112"/>
      <c r="N27" s="114"/>
      <c r="O27" s="114"/>
    </row>
    <row r="28" spans="1:16" ht="14.25" x14ac:dyDescent="0.2">
      <c r="A28" s="26" t="s">
        <v>53</v>
      </c>
      <c r="B28" s="87">
        <v>288.66000000000003</v>
      </c>
      <c r="C28" s="87">
        <v>245.5</v>
      </c>
      <c r="D28" s="87">
        <v>187.5</v>
      </c>
      <c r="E28" s="109" t="s">
        <v>10</v>
      </c>
      <c r="F28" s="87">
        <v>270.02999999999997</v>
      </c>
      <c r="G28" s="87">
        <v>245.63</v>
      </c>
      <c r="I28" s="112"/>
      <c r="J28" s="112"/>
      <c r="K28" s="112"/>
    </row>
    <row r="29" spans="1:16" ht="14.25" x14ac:dyDescent="0.2">
      <c r="A29" s="26" t="s">
        <v>55</v>
      </c>
      <c r="B29" s="87">
        <v>291.25</v>
      </c>
      <c r="C29" s="87">
        <v>245</v>
      </c>
      <c r="D29" s="87">
        <v>202.5</v>
      </c>
      <c r="E29" s="109" t="s">
        <v>10</v>
      </c>
      <c r="F29" s="87">
        <v>271.11</v>
      </c>
      <c r="G29" s="87">
        <v>250</v>
      </c>
      <c r="I29" s="112"/>
      <c r="J29" s="112"/>
      <c r="K29" s="112"/>
    </row>
    <row r="30" spans="1:16" ht="15" x14ac:dyDescent="0.2">
      <c r="A30" s="26" t="s">
        <v>56</v>
      </c>
      <c r="B30" s="87">
        <v>290.18</v>
      </c>
      <c r="C30" s="87">
        <v>245</v>
      </c>
      <c r="D30" s="87">
        <v>217.5</v>
      </c>
      <c r="E30" s="109" t="s">
        <v>10</v>
      </c>
      <c r="F30" s="87">
        <v>281.08999999999997</v>
      </c>
      <c r="G30" s="87">
        <v>251.75</v>
      </c>
      <c r="I30" s="112"/>
      <c r="J30" s="114"/>
      <c r="K30" s="112"/>
      <c r="L30" s="114"/>
      <c r="M30" s="112"/>
    </row>
    <row r="31" spans="1:16" ht="15" x14ac:dyDescent="0.2">
      <c r="A31" s="26" t="s">
        <v>58</v>
      </c>
      <c r="B31" s="87">
        <v>319.99</v>
      </c>
      <c r="C31" s="87">
        <v>248.5</v>
      </c>
      <c r="D31" s="87">
        <v>211.5</v>
      </c>
      <c r="E31" s="109" t="s">
        <v>10</v>
      </c>
      <c r="F31" s="87">
        <v>296.60000000000002</v>
      </c>
      <c r="G31" s="87">
        <v>227</v>
      </c>
      <c r="I31" s="112"/>
      <c r="J31" s="112"/>
      <c r="K31" s="113"/>
      <c r="P31" s="114"/>
    </row>
    <row r="32" spans="1:16" ht="15" x14ac:dyDescent="0.2">
      <c r="A32" s="30"/>
      <c r="B32" s="87"/>
      <c r="C32" s="87"/>
      <c r="D32" s="87"/>
      <c r="E32" s="109"/>
      <c r="F32" s="87"/>
      <c r="G32" s="87"/>
      <c r="I32" s="112"/>
      <c r="J32" s="114"/>
      <c r="K32" s="114"/>
      <c r="L32" s="112"/>
      <c r="M32" s="114"/>
      <c r="N32" s="114"/>
      <c r="O32" s="114"/>
      <c r="P32" s="114"/>
    </row>
    <row r="33" spans="1:16" ht="15" x14ac:dyDescent="0.25">
      <c r="A33" s="48" t="s">
        <v>122</v>
      </c>
      <c r="B33" s="87"/>
      <c r="C33" s="87"/>
      <c r="D33" s="87"/>
      <c r="E33" s="109"/>
      <c r="F33" s="87"/>
      <c r="G33" s="87"/>
      <c r="I33" s="113"/>
      <c r="J33" s="114"/>
      <c r="K33" s="114"/>
      <c r="L33" s="112"/>
      <c r="M33" s="112"/>
      <c r="P33" s="114"/>
    </row>
    <row r="34" spans="1:16" ht="15" x14ac:dyDescent="0.2">
      <c r="A34" s="26" t="s">
        <v>45</v>
      </c>
      <c r="B34" s="87">
        <v>367.11</v>
      </c>
      <c r="C34" s="87">
        <v>301.88</v>
      </c>
      <c r="D34" s="87">
        <v>211.25</v>
      </c>
      <c r="E34" s="109" t="s">
        <v>10</v>
      </c>
      <c r="F34" s="87">
        <v>327.24</v>
      </c>
      <c r="G34" s="87">
        <v>239.375</v>
      </c>
      <c r="H34" s="115"/>
      <c r="I34" s="112"/>
      <c r="J34" s="114"/>
      <c r="K34" s="114"/>
      <c r="L34" s="112"/>
      <c r="M34" s="112"/>
      <c r="P34" s="114"/>
    </row>
    <row r="35" spans="1:16" ht="15" x14ac:dyDescent="0.2">
      <c r="A35" s="26" t="s">
        <v>46</v>
      </c>
      <c r="B35" s="87">
        <v>387.83</v>
      </c>
      <c r="C35" s="87">
        <v>365.63</v>
      </c>
      <c r="D35" s="87">
        <v>216.25</v>
      </c>
      <c r="E35" s="109" t="s">
        <v>10</v>
      </c>
      <c r="F35" s="87">
        <v>333.89</v>
      </c>
      <c r="G35" s="87">
        <v>253.75</v>
      </c>
      <c r="H35" s="115"/>
      <c r="I35" s="112"/>
      <c r="J35" s="26"/>
      <c r="K35" s="114"/>
      <c r="L35" s="112"/>
      <c r="M35" s="112"/>
    </row>
    <row r="36" spans="1:16" ht="15" x14ac:dyDescent="0.2">
      <c r="A36" s="26" t="s">
        <v>47</v>
      </c>
      <c r="B36" s="87">
        <v>396.68</v>
      </c>
      <c r="C36" s="87">
        <v>435.83</v>
      </c>
      <c r="D36" s="87">
        <v>252.5</v>
      </c>
      <c r="E36" s="109" t="s">
        <v>10</v>
      </c>
      <c r="F36" s="87">
        <v>338.55</v>
      </c>
      <c r="G36" s="87">
        <v>275</v>
      </c>
      <c r="H36" s="115"/>
      <c r="I36" s="112"/>
      <c r="J36" s="26"/>
      <c r="K36" s="114"/>
      <c r="L36" s="112"/>
    </row>
    <row r="37" spans="1:16" ht="15" x14ac:dyDescent="0.2">
      <c r="A37" s="30" t="s">
        <v>48</v>
      </c>
      <c r="B37" s="87">
        <v>439.24</v>
      </c>
      <c r="C37" s="87">
        <v>443.75</v>
      </c>
      <c r="D37" s="87">
        <v>280.63</v>
      </c>
      <c r="E37" s="109" t="s">
        <v>10</v>
      </c>
      <c r="F37" s="87">
        <v>387.53</v>
      </c>
      <c r="G37" s="87">
        <v>313.125</v>
      </c>
      <c r="I37" s="112"/>
      <c r="J37" s="114"/>
      <c r="K37" s="114"/>
      <c r="L37" s="114"/>
      <c r="M37" s="114"/>
      <c r="N37" s="114"/>
    </row>
    <row r="38" spans="1:16" ht="15" x14ac:dyDescent="0.25">
      <c r="A38" s="30" t="s">
        <v>49</v>
      </c>
      <c r="B38" s="87">
        <v>427.28</v>
      </c>
      <c r="C38" s="87">
        <v>460</v>
      </c>
      <c r="D38" s="87">
        <v>291.88</v>
      </c>
      <c r="E38" s="109" t="s">
        <v>10</v>
      </c>
      <c r="F38" s="87">
        <v>376.07499999999999</v>
      </c>
      <c r="G38" s="87">
        <v>296.25</v>
      </c>
      <c r="I38" s="112"/>
      <c r="J38" s="116"/>
      <c r="K38" s="114"/>
      <c r="L38" s="112"/>
      <c r="M38" s="112"/>
      <c r="O38" s="114"/>
    </row>
    <row r="39" spans="1:16" ht="15" x14ac:dyDescent="0.2">
      <c r="A39" s="30" t="s">
        <v>50</v>
      </c>
      <c r="B39" s="87">
        <v>410.02</v>
      </c>
      <c r="C39" s="87">
        <v>456</v>
      </c>
      <c r="D39" s="87">
        <v>279.5</v>
      </c>
      <c r="E39" s="109" t="s">
        <v>10</v>
      </c>
      <c r="F39" s="87">
        <v>365.14</v>
      </c>
      <c r="G39" s="87">
        <v>322</v>
      </c>
      <c r="I39" s="112"/>
      <c r="J39" s="30"/>
      <c r="K39" s="112"/>
      <c r="L39" s="112"/>
      <c r="M39" s="112"/>
      <c r="O39" s="114"/>
    </row>
    <row r="40" spans="1:16" ht="15" x14ac:dyDescent="0.25">
      <c r="A40" s="30" t="s">
        <v>51</v>
      </c>
      <c r="B40" s="87">
        <v>413.36</v>
      </c>
      <c r="C40" s="87">
        <v>415</v>
      </c>
      <c r="D40" s="87">
        <v>258.125</v>
      </c>
      <c r="E40" s="109" t="s">
        <v>10</v>
      </c>
      <c r="F40" s="87">
        <v>377.57499999999999</v>
      </c>
      <c r="G40" s="87">
        <v>318.75</v>
      </c>
      <c r="I40" s="48"/>
      <c r="J40" s="30"/>
      <c r="K40" s="112"/>
      <c r="L40" s="112"/>
      <c r="M40" s="112"/>
      <c r="O40" s="114"/>
    </row>
    <row r="41" spans="1:16" ht="15" x14ac:dyDescent="0.2">
      <c r="A41" s="30" t="s">
        <v>52</v>
      </c>
      <c r="B41" s="87">
        <v>421.03</v>
      </c>
      <c r="C41" s="87">
        <v>360.625</v>
      </c>
      <c r="D41" s="87">
        <v>265</v>
      </c>
      <c r="E41" s="109" t="s">
        <v>10</v>
      </c>
      <c r="F41" s="87">
        <v>391.45</v>
      </c>
      <c r="G41" s="87">
        <v>335.63</v>
      </c>
      <c r="I41" s="26"/>
      <c r="J41" s="30"/>
      <c r="K41" s="112"/>
      <c r="L41" s="112"/>
      <c r="M41" s="112"/>
      <c r="O41" s="114"/>
    </row>
    <row r="42" spans="1:16" ht="15" x14ac:dyDescent="0.2">
      <c r="A42" s="30" t="s">
        <v>53</v>
      </c>
      <c r="B42" s="87">
        <v>378.18</v>
      </c>
      <c r="C42" s="87">
        <v>337.5</v>
      </c>
      <c r="D42" s="87">
        <v>252.5</v>
      </c>
      <c r="E42" s="109" t="s">
        <v>10</v>
      </c>
      <c r="F42" s="87">
        <v>345.9</v>
      </c>
      <c r="G42" s="87">
        <v>293.5</v>
      </c>
      <c r="I42" s="26"/>
      <c r="J42" s="30"/>
      <c r="K42" s="112"/>
      <c r="L42" s="112"/>
      <c r="M42" s="112"/>
      <c r="O42" s="114"/>
    </row>
    <row r="43" spans="1:16" ht="15" x14ac:dyDescent="0.2">
      <c r="A43" s="30" t="s">
        <v>55</v>
      </c>
      <c r="B43" s="87">
        <v>365.23</v>
      </c>
      <c r="C43" s="87">
        <v>321.875</v>
      </c>
      <c r="D43" s="87">
        <v>206.25</v>
      </c>
      <c r="E43" s="109" t="s">
        <v>10</v>
      </c>
      <c r="F43" s="87">
        <v>326.67499999999995</v>
      </c>
      <c r="G43" s="87">
        <v>262.5</v>
      </c>
      <c r="I43" s="26"/>
      <c r="J43" s="30"/>
      <c r="K43" s="112"/>
      <c r="L43" s="112"/>
      <c r="M43" s="112"/>
      <c r="O43" s="114"/>
    </row>
    <row r="44" spans="1:16" ht="15" x14ac:dyDescent="0.2">
      <c r="A44" s="30" t="s">
        <v>56</v>
      </c>
      <c r="B44" s="87">
        <v>358.21</v>
      </c>
      <c r="C44" s="87">
        <v>303</v>
      </c>
      <c r="D44" s="87">
        <v>219.5</v>
      </c>
      <c r="E44" s="109" t="s">
        <v>10</v>
      </c>
      <c r="F44" s="87">
        <v>329.45</v>
      </c>
      <c r="G44" s="87">
        <v>287.5</v>
      </c>
      <c r="I44" s="26"/>
      <c r="J44" s="30"/>
      <c r="K44" s="112"/>
      <c r="L44" s="112"/>
      <c r="M44" s="112"/>
      <c r="O44" s="114"/>
    </row>
    <row r="45" spans="1:16" ht="15" x14ac:dyDescent="0.2">
      <c r="A45" s="24" t="s">
        <v>58</v>
      </c>
      <c r="B45" s="22">
        <v>343.55</v>
      </c>
      <c r="C45" s="22">
        <v>305</v>
      </c>
      <c r="D45" s="22">
        <v>221.25</v>
      </c>
      <c r="E45" s="23" t="s">
        <v>10</v>
      </c>
      <c r="F45" s="22">
        <v>322.96249999999998</v>
      </c>
      <c r="G45" s="22">
        <v>260</v>
      </c>
      <c r="I45" s="26"/>
      <c r="J45" s="30"/>
      <c r="K45" s="112"/>
      <c r="L45" s="112"/>
      <c r="M45" s="112"/>
      <c r="O45" s="114"/>
    </row>
    <row r="46" spans="1:16" ht="16.5" x14ac:dyDescent="0.2">
      <c r="A46" s="77" t="s">
        <v>155</v>
      </c>
      <c r="B46" s="117"/>
      <c r="C46" s="117"/>
      <c r="D46" s="117"/>
      <c r="E46" s="117"/>
      <c r="F46" s="117"/>
      <c r="G46" s="117"/>
      <c r="I46" s="26"/>
      <c r="J46" s="112"/>
      <c r="K46" s="112"/>
      <c r="L46" s="112"/>
    </row>
    <row r="47" spans="1:16" ht="16.5" x14ac:dyDescent="0.2">
      <c r="A47" s="77" t="s">
        <v>144</v>
      </c>
      <c r="B47" s="118"/>
      <c r="C47" s="118"/>
      <c r="D47" s="118"/>
      <c r="E47" s="118"/>
      <c r="F47" s="118"/>
      <c r="G47" s="118"/>
      <c r="I47" s="26"/>
      <c r="J47" s="87"/>
      <c r="K47" s="112"/>
      <c r="L47" s="112"/>
      <c r="M47" s="112"/>
    </row>
    <row r="48" spans="1:16" ht="14.25" x14ac:dyDescent="0.2">
      <c r="A48" s="26" t="s">
        <v>44</v>
      </c>
      <c r="B48" s="118"/>
      <c r="C48" s="118"/>
      <c r="D48" s="118"/>
      <c r="E48" s="118"/>
      <c r="F48" s="118"/>
      <c r="G48" s="118"/>
      <c r="H48" s="78"/>
      <c r="I48" s="30"/>
      <c r="J48" s="87"/>
      <c r="K48" s="112"/>
      <c r="L48" s="112"/>
      <c r="M48" s="112"/>
    </row>
    <row r="49" spans="1:13" ht="14.25" x14ac:dyDescent="0.2">
      <c r="A49" s="26" t="s">
        <v>156</v>
      </c>
      <c r="B49" s="26"/>
      <c r="C49" s="26"/>
      <c r="D49" s="26"/>
      <c r="E49" s="26"/>
      <c r="F49" s="118"/>
      <c r="G49" s="118"/>
      <c r="I49" s="30"/>
      <c r="J49" s="87"/>
      <c r="K49" s="112"/>
      <c r="L49" s="112"/>
      <c r="M49" s="112"/>
    </row>
    <row r="50" spans="1:13" ht="14.25" x14ac:dyDescent="0.2">
      <c r="A50" s="32" t="s">
        <v>18</v>
      </c>
      <c r="B50" s="66">
        <f ca="1">NOW()</f>
        <v>44482.587913078707</v>
      </c>
      <c r="C50" s="26"/>
      <c r="D50" s="26"/>
      <c r="E50" s="26"/>
      <c r="F50" s="118"/>
      <c r="G50" s="118"/>
      <c r="I50" s="30"/>
      <c r="J50" s="87"/>
      <c r="K50" s="119"/>
      <c r="L50" s="119"/>
      <c r="M50" s="119"/>
    </row>
    <row r="51" spans="1:13" ht="14.25" x14ac:dyDescent="0.2">
      <c r="F51" s="118"/>
      <c r="G51" s="118"/>
      <c r="I51" s="30"/>
      <c r="J51" s="87"/>
      <c r="K51" s="119"/>
      <c r="L51" s="119"/>
      <c r="M51" s="119"/>
    </row>
    <row r="52" spans="1:13" ht="14.25" x14ac:dyDescent="0.2">
      <c r="F52" s="118"/>
      <c r="G52" s="118"/>
      <c r="I52" s="30"/>
      <c r="J52" s="87"/>
      <c r="K52" s="112"/>
      <c r="L52" s="112"/>
      <c r="M52" s="112"/>
    </row>
    <row r="53" spans="1:13" x14ac:dyDescent="0.2">
      <c r="I53" s="120"/>
      <c r="J53" s="120"/>
      <c r="K53" s="112"/>
      <c r="L53" s="112"/>
      <c r="M53" s="112"/>
    </row>
    <row r="54" spans="1:13" x14ac:dyDescent="0.2">
      <c r="I54" s="121"/>
      <c r="J54" s="121"/>
      <c r="K54" s="112"/>
      <c r="L54" s="112"/>
      <c r="M54" s="112"/>
    </row>
    <row r="55" spans="1:13" x14ac:dyDescent="0.2">
      <c r="I55" s="121"/>
      <c r="J55" s="121"/>
      <c r="K55" s="112"/>
      <c r="L55" s="112"/>
      <c r="M55" s="112"/>
    </row>
    <row r="56" spans="1:13" x14ac:dyDescent="0.2">
      <c r="I56" s="121"/>
      <c r="J56" s="121"/>
      <c r="K56" s="112"/>
      <c r="L56" s="112"/>
      <c r="M56" s="112"/>
    </row>
    <row r="57" spans="1:13" x14ac:dyDescent="0.2">
      <c r="I57" s="121"/>
      <c r="J57" s="121"/>
      <c r="K57" s="112"/>
      <c r="L57" s="112"/>
      <c r="M57" s="112"/>
    </row>
    <row r="59" spans="1:13" x14ac:dyDescent="0.2">
      <c r="I59" s="122"/>
      <c r="J59" s="122"/>
      <c r="K59" s="122"/>
      <c r="L59" s="122"/>
      <c r="M59" s="122"/>
    </row>
    <row r="60" spans="1:13" x14ac:dyDescent="0.2">
      <c r="I60" s="122"/>
      <c r="J60" s="122"/>
      <c r="K60" s="122"/>
      <c r="L60" s="122"/>
      <c r="M60" s="122"/>
    </row>
    <row r="61" spans="1:13" x14ac:dyDescent="0.2">
      <c r="J61" s="122"/>
    </row>
  </sheetData>
  <phoneticPr fontId="11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CE0EE-7AB4-4BA1-B193-42AF2486725D}">
  <dimension ref="A1:C13"/>
  <sheetViews>
    <sheetView zoomScaleNormal="100" workbookViewId="0"/>
  </sheetViews>
  <sheetFormatPr defaultColWidth="8.85546875" defaultRowHeight="15" x14ac:dyDescent="0.25"/>
  <cols>
    <col min="1" max="1" width="10.7109375" style="150" bestFit="1" customWidth="1"/>
    <col min="2" max="2" width="14.28515625" style="149" bestFit="1" customWidth="1"/>
    <col min="3" max="3" width="11.85546875" style="149" bestFit="1" customWidth="1"/>
    <col min="4" max="16384" width="8.85546875" style="149"/>
  </cols>
  <sheetData>
    <row r="1" spans="1:3" x14ac:dyDescent="0.25">
      <c r="A1" s="152" t="s">
        <v>166</v>
      </c>
      <c r="B1" s="148" t="s">
        <v>165</v>
      </c>
      <c r="C1" s="148" t="s">
        <v>161</v>
      </c>
    </row>
    <row r="2" spans="1:3" x14ac:dyDescent="0.25">
      <c r="A2" s="151" t="s">
        <v>167</v>
      </c>
      <c r="B2" s="162">
        <v>367.11</v>
      </c>
      <c r="C2" s="163">
        <v>33.909999999999997</v>
      </c>
    </row>
    <row r="3" spans="1:3" x14ac:dyDescent="0.25">
      <c r="A3" s="151" t="s">
        <v>168</v>
      </c>
      <c r="B3" s="162">
        <v>387.83</v>
      </c>
      <c r="C3" s="163">
        <v>37.79</v>
      </c>
    </row>
    <row r="4" spans="1:3" x14ac:dyDescent="0.25">
      <c r="A4" s="151" t="s">
        <v>169</v>
      </c>
      <c r="B4" s="162">
        <v>396.68</v>
      </c>
      <c r="C4" s="163">
        <v>40.85</v>
      </c>
    </row>
    <row r="5" spans="1:3" x14ac:dyDescent="0.25">
      <c r="A5" s="151" t="s">
        <v>170</v>
      </c>
      <c r="B5" s="162">
        <v>439.24</v>
      </c>
      <c r="C5" s="163">
        <v>44.31</v>
      </c>
    </row>
    <row r="6" spans="1:3" x14ac:dyDescent="0.25">
      <c r="A6" s="151" t="s">
        <v>171</v>
      </c>
      <c r="B6" s="162">
        <v>427.28</v>
      </c>
      <c r="C6" s="163">
        <v>48.37</v>
      </c>
    </row>
    <row r="7" spans="1:3" x14ac:dyDescent="0.25">
      <c r="A7" s="151" t="s">
        <v>50</v>
      </c>
      <c r="B7" s="162">
        <v>410.02</v>
      </c>
      <c r="C7" s="163">
        <v>56</v>
      </c>
    </row>
    <row r="8" spans="1:3" x14ac:dyDescent="0.25">
      <c r="A8" s="151" t="s">
        <v>51</v>
      </c>
      <c r="B8" s="162">
        <v>413.36</v>
      </c>
      <c r="C8" s="163">
        <v>62.88</v>
      </c>
    </row>
    <row r="9" spans="1:3" x14ac:dyDescent="0.25">
      <c r="A9" s="151" t="s">
        <v>52</v>
      </c>
      <c r="B9" s="162">
        <v>421.03</v>
      </c>
      <c r="C9" s="163">
        <v>74.75</v>
      </c>
    </row>
    <row r="10" spans="1:3" x14ac:dyDescent="0.25">
      <c r="A10" s="151" t="s">
        <v>53</v>
      </c>
      <c r="B10" s="162">
        <v>378.18</v>
      </c>
      <c r="C10" s="163">
        <v>74.75</v>
      </c>
    </row>
    <row r="11" spans="1:3" x14ac:dyDescent="0.25">
      <c r="A11" s="151" t="s">
        <v>55</v>
      </c>
      <c r="B11" s="162">
        <v>365.23</v>
      </c>
      <c r="C11" s="163">
        <v>72.930000000000007</v>
      </c>
    </row>
    <row r="12" spans="1:3" x14ac:dyDescent="0.25">
      <c r="A12" s="151" t="s">
        <v>172</v>
      </c>
      <c r="B12" s="162">
        <v>358.21</v>
      </c>
      <c r="C12" s="163">
        <v>70.010000000000005</v>
      </c>
    </row>
    <row r="13" spans="1:3" x14ac:dyDescent="0.25">
      <c r="A13" s="151" t="s">
        <v>173</v>
      </c>
      <c r="B13" s="162">
        <v>343.55</v>
      </c>
      <c r="C13" s="163">
        <v>65.930000000000007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711008381A4489560F302ED63725A" ma:contentTypeVersion="11" ma:contentTypeDescription="Create a new document." ma:contentTypeScope="" ma:versionID="887cff17742744b02a1c83dd32c3b354">
  <xsd:schema xmlns:xsd="http://www.w3.org/2001/XMLSchema" xmlns:xs="http://www.w3.org/2001/XMLSchema" xmlns:p="http://schemas.microsoft.com/office/2006/metadata/properties" xmlns:ns3="642c2d5b-b5cd-4c4f-95a0-231891633038" xmlns:ns4="9d29759f-fdc3-4b89-93e8-7a818e788e93" targetNamespace="http://schemas.microsoft.com/office/2006/metadata/properties" ma:root="true" ma:fieldsID="eca4ca4c91a3a67dac508b2f26fcc458" ns3:_="" ns4:_="">
    <xsd:import namespace="642c2d5b-b5cd-4c4f-95a0-231891633038"/>
    <xsd:import namespace="9d29759f-fdc3-4b89-93e8-7a818e788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c2d5b-b5cd-4c4f-95a0-231891633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9759f-fdc3-4b89-93e8-7a818e788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D11575-6B8F-46EE-93E0-60356AADF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c2d5b-b5cd-4c4f-95a0-231891633038"/>
    <ds:schemaRef ds:uri="9d29759f-fdc3-4b89-93e8-7a818e788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A8D954-8A64-4F7C-B553-C236DC8A07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9FD27-698A-4259-BC06-6D4A65A05AE8}">
  <ds:schemaRefs>
    <ds:schemaRef ds:uri="http://www.w3.org/XML/1998/namespace"/>
    <ds:schemaRef ds:uri="http://purl.org/dc/terms/"/>
    <ds:schemaRef ds:uri="642c2d5b-b5cd-4c4f-95a0-23189163303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d29759f-fdc3-4b89-93e8-7a818e788e9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Cover</vt:lpstr>
      <vt:lpstr>Figure 1</vt:lpstr>
      <vt:lpstr>Figure 2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Aaron Ates</dc:creator>
  <cp:keywords>oil crops, outlook, soybeans, soybean meal, soybean oil, cottonseed, sunflowerseed, sunflowerseed oil, peanuts, canola, canola oil, supply, disappearance, price, USDA, U.S. Department of Agriculture, ERS, Economic Research Service</cp:keywords>
  <dc:description/>
  <cp:lastModifiedBy>Ates, Aaron - REE-ERS, Kansas City, MO</cp:lastModifiedBy>
  <cp:lastPrinted>2014-11-10T20:35:48Z</cp:lastPrinted>
  <dcterms:created xsi:type="dcterms:W3CDTF">2001-11-13T16:22:15Z</dcterms:created>
  <dcterms:modified xsi:type="dcterms:W3CDTF">2021-10-13T19:37:02Z</dcterms:modified>
  <cp:category>Oilseeds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0x010100509711008381A4489560F302ED63725A</vt:lpwstr>
  </property>
</Properties>
</file>