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MANN\2019DOCS\OCS\09Sep\"/>
    </mc:Choice>
  </mc:AlternateContent>
  <bookViews>
    <workbookView xWindow="0" yWindow="0" windowWidth="21015" windowHeight="15045" tabRatio="633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8" r:id="rId9"/>
    <sheet name="Oil Crops Chart Gallery Fig 1" sheetId="13" r:id="rId10"/>
    <sheet name="Oil Crops Chart Gallery Fig 2" sheetId="12" r:id="rId11"/>
  </sheets>
  <definedNames>
    <definedName name="_xlnm.Print_Area" localSheetId="1">'Table 1'!$A$1:$N$48</definedName>
    <definedName name="_xlnm.Print_Area" localSheetId="7">'Table 10'!$A$1:$G$46</definedName>
    <definedName name="_xlnm.Print_Area" localSheetId="2">'Table 2'!$A$1:$J$38</definedName>
    <definedName name="_xlnm.Print_Area" localSheetId="3">'Table 3'!$A$1:$M$54</definedName>
    <definedName name="_xlnm.Print_Area" localSheetId="5">'Table 8'!$A$1:$G$44</definedName>
    <definedName name="_xlnm.Print_Area" localSheetId="6">'Table 9'!$A$1:$I$46</definedName>
    <definedName name="_xlnm.Print_Area" localSheetId="4">'Tables 4-7'!$A$1:$O$52</definedName>
    <definedName name="WASDE_Updated" localSheetId="0">Contents!#REF!</definedName>
  </definedNames>
  <calcPr calcId="152511"/>
</workbook>
</file>

<file path=xl/calcChain.xml><?xml version="1.0" encoding="utf-8"?>
<calcChain xmlns="http://schemas.openxmlformats.org/spreadsheetml/2006/main">
  <c r="I36" i="9" l="1"/>
  <c r="J45" i="1" l="1"/>
  <c r="D35" i="2" l="1"/>
  <c r="H35" i="2"/>
  <c r="C35" i="2"/>
  <c r="E35" i="2" s="1"/>
  <c r="J35" i="2"/>
  <c r="H36" i="2"/>
  <c r="D36" i="2"/>
  <c r="B35" i="2"/>
  <c r="D37" i="9"/>
  <c r="K38" i="9"/>
  <c r="J38" i="9"/>
  <c r="H38" i="9"/>
  <c r="D38" i="9"/>
  <c r="C38" i="9"/>
  <c r="J37" i="9"/>
  <c r="L37" i="9"/>
  <c r="L36" i="9"/>
  <c r="B37" i="9" s="1"/>
  <c r="E37" i="9" s="1"/>
  <c r="K37" i="9" s="1"/>
  <c r="J44" i="1"/>
  <c r="L45" i="1"/>
  <c r="G45" i="1"/>
  <c r="L44" i="1"/>
  <c r="G44" i="1"/>
  <c r="I35" i="2" l="1"/>
  <c r="I36" i="2" s="1"/>
  <c r="C36" i="2"/>
  <c r="G37" i="9"/>
  <c r="G38" i="9" s="1"/>
  <c r="K47" i="3"/>
  <c r="K46" i="3"/>
  <c r="G35" i="2" l="1"/>
  <c r="G36" i="2" s="1"/>
  <c r="J36" i="9"/>
  <c r="D36" i="9"/>
  <c r="H34" i="2"/>
  <c r="D34" i="2"/>
  <c r="L43" i="1"/>
  <c r="G43" i="1"/>
  <c r="L35" i="9" l="1"/>
  <c r="J34" i="2"/>
  <c r="J33" i="2"/>
  <c r="C34" i="2"/>
  <c r="C33" i="2"/>
  <c r="J43" i="1"/>
  <c r="J41" i="1"/>
  <c r="B36" i="9" l="1"/>
  <c r="E36" i="9" s="1"/>
  <c r="K36" i="9" s="1"/>
  <c r="G36" i="9" s="1"/>
  <c r="B34" i="2"/>
  <c r="E34" i="2" s="1"/>
  <c r="I34" i="2" s="1"/>
  <c r="G34" i="2" s="1"/>
  <c r="H45" i="1" l="1"/>
  <c r="K19" i="1" l="1"/>
  <c r="K23" i="1"/>
  <c r="J35" i="9"/>
  <c r="D35" i="9"/>
  <c r="H33" i="2"/>
  <c r="D33" i="2"/>
  <c r="L41" i="1"/>
  <c r="G41" i="1"/>
  <c r="D7" i="1" l="1"/>
  <c r="D8" i="1"/>
  <c r="D6" i="1"/>
  <c r="L33" i="9" l="1"/>
  <c r="L34" i="9"/>
  <c r="J32" i="2"/>
  <c r="C32" i="2"/>
  <c r="J39" i="1"/>
  <c r="J40" i="1"/>
  <c r="E42" i="1" l="1"/>
  <c r="L42" i="1"/>
  <c r="J42" i="1"/>
  <c r="G42" i="1"/>
  <c r="B33" i="2"/>
  <c r="E33" i="2" s="1"/>
  <c r="B35" i="9"/>
  <c r="E35" i="9" s="1"/>
  <c r="K35" i="9" s="1"/>
  <c r="G35" i="9" s="1"/>
  <c r="I35" i="9" s="1"/>
  <c r="D30" i="9"/>
  <c r="D29" i="9"/>
  <c r="D28" i="9"/>
  <c r="D24" i="9"/>
  <c r="D19" i="9"/>
  <c r="D18" i="9"/>
  <c r="D17" i="9"/>
  <c r="D16" i="9"/>
  <c r="D13" i="9"/>
  <c r="J30" i="9"/>
  <c r="J29" i="9"/>
  <c r="J28" i="9"/>
  <c r="J24" i="9"/>
  <c r="J23" i="9"/>
  <c r="J22" i="9"/>
  <c r="J21" i="9"/>
  <c r="J18" i="9"/>
  <c r="J17" i="9"/>
  <c r="J16" i="9"/>
  <c r="J14" i="9"/>
  <c r="H28" i="2"/>
  <c r="H27" i="2"/>
  <c r="H26" i="2"/>
  <c r="H22" i="2"/>
  <c r="H21" i="2"/>
  <c r="H20" i="2"/>
  <c r="H19" i="2"/>
  <c r="H18" i="2"/>
  <c r="H17" i="2"/>
  <c r="H16" i="2"/>
  <c r="H15" i="2"/>
  <c r="H14" i="2"/>
  <c r="H13" i="2"/>
  <c r="H12" i="2"/>
  <c r="H11" i="2"/>
  <c r="D28" i="2"/>
  <c r="D27" i="2"/>
  <c r="D26" i="2"/>
  <c r="D22" i="2"/>
  <c r="D21" i="2"/>
  <c r="D20" i="2"/>
  <c r="D19" i="2"/>
  <c r="D18" i="2"/>
  <c r="D17" i="2"/>
  <c r="D16" i="2"/>
  <c r="D15" i="2"/>
  <c r="D14" i="2"/>
  <c r="D13" i="2"/>
  <c r="D12" i="2"/>
  <c r="D11" i="2"/>
  <c r="G33" i="1"/>
  <c r="G32" i="1"/>
  <c r="G31" i="1"/>
  <c r="G26" i="1"/>
  <c r="G25" i="1"/>
  <c r="G24" i="1"/>
  <c r="G22" i="1"/>
  <c r="G21" i="1"/>
  <c r="G20" i="1"/>
  <c r="G18" i="1"/>
  <c r="G17" i="1"/>
  <c r="G16" i="1"/>
  <c r="G14" i="1"/>
  <c r="G13" i="1"/>
  <c r="G12" i="1"/>
  <c r="L35" i="1"/>
  <c r="L33" i="1"/>
  <c r="L32" i="1"/>
  <c r="L31" i="1"/>
  <c r="L26" i="1"/>
  <c r="L25" i="1"/>
  <c r="L24" i="1"/>
  <c r="L22" i="1"/>
  <c r="L21" i="1"/>
  <c r="L20" i="1"/>
  <c r="L18" i="1"/>
  <c r="L17" i="1"/>
  <c r="L16" i="1"/>
  <c r="L14" i="1"/>
  <c r="L13" i="1"/>
  <c r="L12" i="1"/>
  <c r="I33" i="2" l="1"/>
  <c r="E36" i="2"/>
  <c r="K42" i="1"/>
  <c r="K45" i="1" s="1"/>
  <c r="H42" i="1"/>
  <c r="M42" i="1" s="1"/>
  <c r="G33" i="2"/>
  <c r="D33" i="9"/>
  <c r="E33" i="9" s="1"/>
  <c r="E31" i="9"/>
  <c r="E32" i="9"/>
  <c r="E32" i="2"/>
  <c r="I32" i="2" s="1"/>
  <c r="G32" i="2" s="1"/>
  <c r="C31" i="2"/>
  <c r="E31" i="2" s="1"/>
  <c r="I31" i="2" s="1"/>
  <c r="G31" i="2" s="1"/>
  <c r="I30" i="2"/>
  <c r="B28" i="2"/>
  <c r="B29" i="2"/>
  <c r="B30" i="2"/>
  <c r="B31" i="2"/>
  <c r="B32" i="2"/>
  <c r="J31" i="2"/>
  <c r="D31" i="2"/>
  <c r="H31" i="2"/>
  <c r="L46" i="3" l="1"/>
  <c r="N46" i="3"/>
  <c r="H47" i="3"/>
  <c r="N47" i="3" s="1"/>
  <c r="L47" i="3" s="1"/>
  <c r="H46" i="3"/>
  <c r="E48" i="3"/>
  <c r="H48" i="3" s="1"/>
  <c r="N48" i="3" s="1"/>
  <c r="L48" i="3" s="1"/>
  <c r="E47" i="3"/>
  <c r="D48" i="3"/>
  <c r="D47" i="3"/>
  <c r="D46" i="3"/>
  <c r="B35" i="3"/>
  <c r="B34" i="3"/>
  <c r="E34" i="3" s="1"/>
  <c r="I34" i="3" s="1"/>
  <c r="G34" i="3" s="1"/>
  <c r="B22" i="3"/>
  <c r="E22" i="3" s="1"/>
  <c r="I22" i="3" s="1"/>
  <c r="G22" i="3" s="1"/>
  <c r="B21" i="3"/>
  <c r="B9" i="3"/>
  <c r="E9" i="3" s="1"/>
  <c r="J9" i="3" s="1"/>
  <c r="I9" i="3" s="1"/>
  <c r="B8" i="3"/>
  <c r="E8" i="3" s="1"/>
  <c r="J8" i="3" s="1"/>
  <c r="I8" i="3" s="1"/>
  <c r="G20" i="3"/>
  <c r="J7" i="3"/>
  <c r="I7" i="3" s="1"/>
  <c r="I20" i="3"/>
  <c r="E35" i="3"/>
  <c r="I35" i="3" s="1"/>
  <c r="G35" i="3" s="1"/>
  <c r="E33" i="3"/>
  <c r="I33" i="3" s="1"/>
  <c r="G33" i="3" s="1"/>
  <c r="E21" i="3"/>
  <c r="I21" i="3" s="1"/>
  <c r="G21" i="3" s="1"/>
  <c r="E20" i="3"/>
  <c r="E7" i="3"/>
  <c r="K33" i="9" l="1"/>
  <c r="B33" i="9"/>
  <c r="B34" i="9"/>
  <c r="E34" i="9" s="1"/>
  <c r="K32" i="9"/>
  <c r="K34" i="9"/>
  <c r="J33" i="9"/>
  <c r="J34" i="9"/>
  <c r="D34" i="9"/>
  <c r="L40" i="1"/>
  <c r="G40" i="1"/>
  <c r="H32" i="2"/>
  <c r="D32" i="2"/>
  <c r="G34" i="9" l="1"/>
  <c r="G33" i="9"/>
  <c r="I33" i="9" s="1"/>
  <c r="E8" i="9"/>
  <c r="K8" i="9" s="1"/>
  <c r="G8" i="9" s="1"/>
  <c r="I8" i="9" s="1"/>
  <c r="B9" i="9"/>
  <c r="E9" i="9" s="1"/>
  <c r="K9" i="9" s="1"/>
  <c r="G9" i="9" s="1"/>
  <c r="I9" i="9" s="1"/>
  <c r="B8" i="9"/>
  <c r="L7" i="9"/>
  <c r="H7" i="9"/>
  <c r="C7" i="9"/>
  <c r="E38" i="9"/>
  <c r="E7" i="1"/>
  <c r="H7" i="1" s="1"/>
  <c r="M7" i="1" s="1"/>
  <c r="K7" i="1" s="1"/>
  <c r="E8" i="1"/>
  <c r="H8" i="1" s="1"/>
  <c r="M8" i="1" s="1"/>
  <c r="K8" i="1" s="1"/>
  <c r="H6" i="1"/>
  <c r="M6" i="1" s="1"/>
  <c r="K6" i="1" s="1"/>
  <c r="E8" i="2"/>
  <c r="I8" i="2" s="1"/>
  <c r="G8" i="2" s="1"/>
  <c r="E7" i="2"/>
  <c r="I7" i="2" s="1"/>
  <c r="G7" i="2" s="1"/>
  <c r="C6" i="2"/>
  <c r="F7" i="1"/>
  <c r="F6" i="1"/>
  <c r="I34" i="9" l="1"/>
  <c r="H30" i="2"/>
  <c r="D30" i="2"/>
  <c r="J32" i="9"/>
  <c r="D32" i="9"/>
  <c r="L37" i="1"/>
  <c r="G37" i="1"/>
  <c r="L16" i="9" l="1"/>
  <c r="L31" i="9" l="1"/>
  <c r="L32" i="9"/>
  <c r="J30" i="2"/>
  <c r="J29" i="2"/>
  <c r="C30" i="2"/>
  <c r="C29" i="2"/>
  <c r="J36" i="1"/>
  <c r="J37" i="1"/>
  <c r="E30" i="2" l="1"/>
  <c r="G30" i="2" s="1"/>
  <c r="B32" i="9"/>
  <c r="G32" i="9" s="1"/>
  <c r="J38" i="1"/>
  <c r="L38" i="1"/>
  <c r="G38" i="1"/>
  <c r="E38" i="1"/>
  <c r="H38" i="1" s="1"/>
  <c r="M38" i="1" s="1"/>
  <c r="M45" i="1" s="1"/>
  <c r="I32" i="9" l="1"/>
  <c r="K38" i="1"/>
  <c r="D29" i="2"/>
  <c r="H29" i="2"/>
  <c r="J31" i="9"/>
  <c r="D31" i="9"/>
  <c r="L36" i="1"/>
  <c r="G36" i="1"/>
  <c r="J22" i="2" l="1"/>
  <c r="C22" i="2"/>
  <c r="L24" i="9"/>
  <c r="J31" i="1"/>
  <c r="G35" i="1" l="1"/>
  <c r="J35" i="1" l="1"/>
  <c r="L30" i="9"/>
  <c r="J28" i="2" l="1"/>
  <c r="C28" i="2"/>
  <c r="E30" i="9" l="1"/>
  <c r="K30" i="9" s="1"/>
  <c r="G30" i="9" s="1"/>
  <c r="I30" i="9" s="1"/>
  <c r="B31" i="9"/>
  <c r="K31" i="9" s="1"/>
  <c r="E29" i="2"/>
  <c r="I29" i="2" s="1"/>
  <c r="G31" i="9" l="1"/>
  <c r="G29" i="2"/>
  <c r="E28" i="2"/>
  <c r="I28" i="2" s="1"/>
  <c r="B30" i="9"/>
  <c r="I31" i="9" l="1"/>
  <c r="I38" i="9" s="1"/>
  <c r="G28" i="2"/>
  <c r="F15" i="1"/>
  <c r="E29" i="9" l="1"/>
  <c r="K29" i="9" s="1"/>
  <c r="G29" i="9" s="1"/>
  <c r="I29" i="9" s="1"/>
  <c r="L29" i="9" l="1"/>
  <c r="L28" i="9"/>
  <c r="J27" i="2"/>
  <c r="J26" i="2"/>
  <c r="J33" i="1"/>
  <c r="J32" i="1"/>
  <c r="C27" i="2"/>
  <c r="C26" i="2"/>
  <c r="F45" i="1" l="1"/>
  <c r="B29" i="9" l="1"/>
  <c r="B27" i="2"/>
  <c r="E27" i="2" s="1"/>
  <c r="I27" i="2" s="1"/>
  <c r="G27" i="2" s="1"/>
  <c r="J34" i="1"/>
  <c r="L34" i="1"/>
  <c r="G34" i="1"/>
  <c r="B26" i="2" l="1"/>
  <c r="E26" i="2" s="1"/>
  <c r="I26" i="2" s="1"/>
  <c r="K24" i="9"/>
  <c r="G24" i="9" s="1"/>
  <c r="H25" i="9"/>
  <c r="B28" i="9"/>
  <c r="E11" i="2"/>
  <c r="I11" i="2" s="1"/>
  <c r="G11" i="2" s="1"/>
  <c r="L13" i="9"/>
  <c r="J11" i="2"/>
  <c r="B12" i="2"/>
  <c r="C11" i="2"/>
  <c r="C25" i="9"/>
  <c r="E34" i="1"/>
  <c r="H34" i="1" s="1"/>
  <c r="M34" i="1" s="1"/>
  <c r="D23" i="9"/>
  <c r="L22" i="9"/>
  <c r="B23" i="9"/>
  <c r="L23" i="9"/>
  <c r="B24" i="9"/>
  <c r="E24" i="9"/>
  <c r="J21" i="2"/>
  <c r="B22" i="2"/>
  <c r="C21" i="2"/>
  <c r="J26" i="1"/>
  <c r="F28" i="1"/>
  <c r="E27" i="1"/>
  <c r="D22" i="9"/>
  <c r="C20" i="2"/>
  <c r="J19" i="2"/>
  <c r="B20" i="2"/>
  <c r="E20" i="2"/>
  <c r="I20" i="2"/>
  <c r="G20" i="2" s="1"/>
  <c r="J20" i="2"/>
  <c r="B21" i="2"/>
  <c r="J25" i="1"/>
  <c r="L27" i="1"/>
  <c r="G27" i="1"/>
  <c r="D21" i="9"/>
  <c r="L21" i="9"/>
  <c r="B22" i="9"/>
  <c r="E22" i="9"/>
  <c r="K22" i="9"/>
  <c r="G22" i="9"/>
  <c r="I22" i="9"/>
  <c r="C19" i="2"/>
  <c r="J24" i="1"/>
  <c r="J27" i="1"/>
  <c r="J15" i="9"/>
  <c r="J13" i="9"/>
  <c r="D15" i="9"/>
  <c r="D14" i="9"/>
  <c r="E13" i="9"/>
  <c r="K13" i="9" s="1"/>
  <c r="J20" i="9"/>
  <c r="D20" i="9"/>
  <c r="L15" i="1"/>
  <c r="L20" i="9"/>
  <c r="B21" i="9"/>
  <c r="C18" i="2"/>
  <c r="J18" i="2"/>
  <c r="B19" i="2"/>
  <c r="B20" i="9"/>
  <c r="E20" i="9"/>
  <c r="K20" i="9"/>
  <c r="G20" i="9"/>
  <c r="I20" i="9"/>
  <c r="J22" i="1"/>
  <c r="E23" i="1"/>
  <c r="J19" i="9"/>
  <c r="L19" i="9"/>
  <c r="J17" i="2"/>
  <c r="B18" i="2"/>
  <c r="C17" i="2"/>
  <c r="J21" i="1"/>
  <c r="G23" i="1"/>
  <c r="L23" i="1"/>
  <c r="J20" i="1"/>
  <c r="J23" i="1"/>
  <c r="L18" i="9"/>
  <c r="B19" i="9"/>
  <c r="J16" i="2"/>
  <c r="B17" i="2"/>
  <c r="C16" i="2"/>
  <c r="L17" i="9"/>
  <c r="B18" i="9"/>
  <c r="E18" i="9"/>
  <c r="K18" i="9" s="1"/>
  <c r="G18" i="9" s="1"/>
  <c r="I18" i="9" s="1"/>
  <c r="J15" i="2"/>
  <c r="B16" i="2"/>
  <c r="J14" i="2"/>
  <c r="B15" i="2"/>
  <c r="C14" i="2"/>
  <c r="C15" i="2"/>
  <c r="J17" i="1"/>
  <c r="J18" i="1"/>
  <c r="B17" i="9"/>
  <c r="E19" i="1"/>
  <c r="G19" i="1"/>
  <c r="L15" i="9"/>
  <c r="B16" i="9"/>
  <c r="L14" i="9"/>
  <c r="B15" i="9"/>
  <c r="E15" i="9"/>
  <c r="K15" i="9"/>
  <c r="B14" i="9"/>
  <c r="E14" i="9"/>
  <c r="K14" i="9"/>
  <c r="J13" i="2"/>
  <c r="B14" i="2"/>
  <c r="J12" i="2"/>
  <c r="B13" i="2"/>
  <c r="C13" i="2"/>
  <c r="C12" i="2"/>
  <c r="E12" i="2"/>
  <c r="I12" i="2"/>
  <c r="G12" i="2"/>
  <c r="J16" i="1"/>
  <c r="B48" i="6"/>
  <c r="B47" i="5"/>
  <c r="B47" i="4"/>
  <c r="B41" i="9"/>
  <c r="B39" i="2"/>
  <c r="B49" i="1"/>
  <c r="J14" i="1"/>
  <c r="J13" i="1"/>
  <c r="J12" i="1"/>
  <c r="J15" i="1"/>
  <c r="J28" i="1" s="1"/>
  <c r="G15" i="1"/>
  <c r="H15" i="1"/>
  <c r="M15" i="1" s="1"/>
  <c r="A5" i="10"/>
  <c r="B52" i="3"/>
  <c r="E17" i="9"/>
  <c r="K17" i="9" s="1"/>
  <c r="G17" i="9" s="1"/>
  <c r="I17" i="9" s="1"/>
  <c r="D25" i="9"/>
  <c r="D7" i="9" s="1"/>
  <c r="E7" i="9" s="1"/>
  <c r="K7" i="9" s="1"/>
  <c r="E16" i="9"/>
  <c r="K16" i="9" s="1"/>
  <c r="G16" i="9" s="1"/>
  <c r="I16" i="9" s="1"/>
  <c r="E19" i="9"/>
  <c r="K19" i="9"/>
  <c r="G19" i="9"/>
  <c r="I19" i="9"/>
  <c r="G14" i="9"/>
  <c r="I14" i="9"/>
  <c r="G15" i="9"/>
  <c r="I15" i="9"/>
  <c r="E21" i="9"/>
  <c r="K21" i="9"/>
  <c r="G21" i="9"/>
  <c r="I21" i="9"/>
  <c r="J25" i="9"/>
  <c r="J7" i="9" s="1"/>
  <c r="E23" i="9"/>
  <c r="K23" i="9"/>
  <c r="G23" i="9"/>
  <c r="I23" i="9"/>
  <c r="H23" i="2"/>
  <c r="E16" i="2"/>
  <c r="I16" i="2" s="1"/>
  <c r="G16" i="2" s="1"/>
  <c r="E22" i="2"/>
  <c r="I22" i="2" s="1"/>
  <c r="E19" i="2"/>
  <c r="I19" i="2"/>
  <c r="G19" i="2" s="1"/>
  <c r="E15" i="2"/>
  <c r="I15" i="2"/>
  <c r="G15" i="2" s="1"/>
  <c r="D23" i="2"/>
  <c r="D6" i="2" s="1"/>
  <c r="E6" i="2" s="1"/>
  <c r="I6" i="2" s="1"/>
  <c r="G6" i="2" s="1"/>
  <c r="E14" i="2"/>
  <c r="I14" i="2"/>
  <c r="G14" i="2" s="1"/>
  <c r="E21" i="2"/>
  <c r="I21" i="2" s="1"/>
  <c r="G21" i="2" s="1"/>
  <c r="E17" i="2"/>
  <c r="I17" i="2" s="1"/>
  <c r="G17" i="2" s="1"/>
  <c r="E18" i="2"/>
  <c r="I18" i="2" s="1"/>
  <c r="G18" i="2" s="1"/>
  <c r="E13" i="2"/>
  <c r="I13" i="2" s="1"/>
  <c r="G13" i="2" s="1"/>
  <c r="C23" i="2"/>
  <c r="L19" i="1"/>
  <c r="H23" i="1"/>
  <c r="M23" i="1" s="1"/>
  <c r="J19" i="1"/>
  <c r="G7" i="9" l="1"/>
  <c r="I7" i="9" s="1"/>
  <c r="K25" i="9"/>
  <c r="G13" i="9"/>
  <c r="I13" i="9" s="1"/>
  <c r="E25" i="9"/>
  <c r="E23" i="2"/>
  <c r="H27" i="1"/>
  <c r="M27" i="1" s="1"/>
  <c r="K27" i="1" s="1"/>
  <c r="G28" i="1"/>
  <c r="H28" i="1" s="1"/>
  <c r="K15" i="1"/>
  <c r="L28" i="1"/>
  <c r="G26" i="2"/>
  <c r="I23" i="2"/>
  <c r="G22" i="2"/>
  <c r="G23" i="2" s="1"/>
  <c r="E28" i="9"/>
  <c r="K28" i="9" s="1"/>
  <c r="I24" i="9"/>
  <c r="H19" i="1"/>
  <c r="M19" i="1" s="1"/>
  <c r="K34" i="1"/>
  <c r="I25" i="9" l="1"/>
  <c r="G25" i="9"/>
  <c r="M28" i="1"/>
  <c r="K28" i="1"/>
  <c r="G28" i="9"/>
  <c r="I28" i="9"/>
</calcChain>
</file>

<file path=xl/sharedStrings.xml><?xml version="1.0" encoding="utf-8"?>
<sst xmlns="http://schemas.openxmlformats.org/spreadsheetml/2006/main" count="557" uniqueCount="189">
  <si>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</si>
  <si>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</si>
  <si>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</si>
  <si>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</si>
  <si>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</si>
  <si>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</si>
  <si>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</si>
  <si>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</si>
  <si>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</si>
  <si>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</si>
  <si>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</si>
  <si>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Table 4--Cottonseed:  U.S. supply and disappearance</t>
  </si>
  <si>
    <t>Table 5--Cottonseed meal:  U.S. supply and disappearance</t>
  </si>
  <si>
    <t>Table 6--Cottonseed oil:  U.S. supply and disappearance</t>
  </si>
  <si>
    <t>Table 7--Peanuts:  U.S. supply and disappearance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</si>
  <si>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</si>
  <si>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</si>
  <si>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</si>
  <si>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</si>
  <si>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</si>
  <si>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</si>
  <si>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</si>
  <si>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</si>
  <si>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Table 2--Soybean meal:  U.S. supply and disappearance</t>
  </si>
  <si>
    <t>Disappearance</t>
  </si>
  <si>
    <t>Table 3--Soybean oil:  U.S. supply and 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</si>
  <si>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</si>
  <si>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</si>
  <si>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</si>
  <si>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</si>
  <si>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</si>
  <si>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</si>
  <si>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</si>
  <si>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</si>
  <si>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</si>
  <si>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</si>
  <si>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</si>
  <si>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</si>
  <si>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</si>
  <si>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</si>
  <si>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</si>
  <si>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</si>
  <si>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</si>
  <si>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</si>
  <si>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</si>
  <si>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</si>
  <si>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</si>
  <si>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</si>
  <si>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</si>
  <si>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</si>
  <si>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</si>
  <si>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</si>
  <si>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</si>
  <si>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 xml:space="preserve">stocks  </t>
  </si>
  <si>
    <t>2009/10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</si>
  <si>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</si>
  <si>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</si>
  <si>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</si>
  <si>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</si>
  <si>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</si>
  <si>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</si>
  <si>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</si>
  <si>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</si>
  <si>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</si>
  <si>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</si>
  <si>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</si>
  <si>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</si>
  <si>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</si>
  <si>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</si>
  <si>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</si>
  <si>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</si>
  <si>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</si>
  <si>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Table 1--Soybeans:  Annual U.S. supply and disappearance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</si>
  <si>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</si>
  <si>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</si>
  <si>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</si>
  <si>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</si>
  <si>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</si>
  <si>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</si>
  <si>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</si>
  <si>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</si>
  <si>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</si>
  <si>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</si>
  <si>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</si>
  <si>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</si>
  <si>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</si>
  <si>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</si>
  <si>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</si>
  <si>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</si>
  <si>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NA= Not available.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</si>
  <si>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</si>
  <si>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</si>
  <si>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</si>
  <si>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</si>
  <si>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</si>
  <si>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</si>
  <si>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</si>
  <si>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</si>
  <si>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</si>
  <si>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</si>
  <si>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</si>
  <si>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</si>
  <si>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</si>
  <si>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</si>
  <si>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</si>
  <si>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cwt=hundredweight.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</si>
  <si>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</si>
  <si>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</si>
  <si>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</si>
  <si>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</si>
  <si>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</si>
  <si>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</si>
  <si>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</si>
  <si>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</si>
  <si>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</si>
  <si>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</si>
  <si>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</si>
  <si>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</si>
  <si>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</si>
  <si>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</si>
  <si>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</si>
  <si>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</si>
  <si>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t xml:space="preserve">Contacts: Mark Ash at mash@ers.usda.gov   </t>
  </si>
  <si>
    <t xml:space="preserve">and Mariana Matias at mariana.matias@ers.usda.gov 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</si>
  <si>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U.S. Census Bureau,</t>
    </r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</si>
  <si>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</si>
  <si>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2,204.622 pounds.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</si>
  <si>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</si>
  <si>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</si>
  <si>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 xml:space="preserve">U.S. Census Bureau, </t>
    </r>
    <r>
      <rPr>
        <i/>
        <sz val="11"/>
        <rFont val="Arial"/>
        <family val="2"/>
      </rPr>
      <t>Foreign Trade Statistics.</t>
    </r>
  </si>
  <si>
    <r>
      <t xml:space="preserve">Source:  USDA, Foreign Agricultural Service, </t>
    </r>
    <r>
      <rPr>
        <i/>
        <sz val="11"/>
        <rFont val="Arial"/>
        <family val="2"/>
      </rPr>
      <t>PS&amp;D Online.</t>
    </r>
  </si>
  <si>
    <r>
      <t>Source:  USDA, Foreign Agricultural Service, Production, Supply, and Distribution Online</t>
    </r>
    <r>
      <rPr>
        <i/>
        <sz val="11"/>
        <rFont val="Arial"/>
        <family val="2"/>
      </rPr>
      <t>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</si>
  <si>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Peanut Stocks and Processing,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</si>
  <si>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</si>
  <si>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</si>
  <si>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</si>
  <si>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</si>
  <si>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</si>
  <si>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</si>
  <si>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>2017/18</t>
    </r>
    <r>
      <rPr>
        <vertAlign val="superscript"/>
        <sz val="1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</si>
  <si>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</si>
  <si>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</si>
  <si>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</si>
  <si>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</si>
  <si>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</si>
  <si>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</si>
  <si>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</si>
  <si>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</si>
  <si>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</si>
  <si>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Sources: USDA, Agricultural Marketing Service, 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</si>
  <si>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</si>
  <si>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</si>
  <si>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</si>
  <si>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</si>
  <si>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</si>
  <si>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</si>
  <si>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</si>
  <si>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</si>
  <si>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</si>
  <si>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</si>
  <si>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</si>
  <si>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</si>
  <si>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r>
      <t>2018/19</t>
    </r>
    <r>
      <rPr>
        <vertAlign val="superscript"/>
        <sz val="11"/>
        <rFont val="Arial"/>
        <family val="2"/>
      </rPr>
      <t>2</t>
    </r>
  </si>
  <si>
    <t>2018/19</t>
  </si>
  <si>
    <t>Total to date</t>
  </si>
  <si>
    <t>Million metric tons</t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</si>
  <si>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1.10231 short tons. NA: Not available.</t>
    </r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</si>
  <si>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36.744 bushels and 1 hectare equals 2.471 acres. NA: Not available.</t>
    </r>
  </si>
  <si>
    <t>---------------------------------------------Million bushels----------------------------------------------------------</t>
  </si>
  <si>
    <r>
      <t>2019/20</t>
    </r>
    <r>
      <rPr>
        <vertAlign val="superscript"/>
        <sz val="11"/>
        <rFont val="Arial"/>
        <family val="2"/>
      </rPr>
      <t>1</t>
    </r>
  </si>
  <si>
    <r>
      <t>2019/20</t>
    </r>
    <r>
      <rPr>
        <vertAlign val="superscript"/>
        <sz val="11"/>
        <rFont val="Arial"/>
        <family val="2"/>
      </rPr>
      <t>2</t>
    </r>
  </si>
  <si>
    <t>2019/20</t>
  </si>
  <si>
    <t>India</t>
  </si>
  <si>
    <t>soybean</t>
  </si>
  <si>
    <t>Area (right axis)</t>
  </si>
  <si>
    <t>Sep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</si>
  <si>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</si>
  <si>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</si>
  <si>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</si>
  <si>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</si>
  <si>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</si>
  <si>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</si>
  <si>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</si>
  <si>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</si>
  <si>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</si>
  <si>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</si>
  <si>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exports</t>
  </si>
  <si>
    <t>ending stocks</t>
  </si>
  <si>
    <t>Soybean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</si>
</sst>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mmm\-yyyy"/>
    <numFmt numFmtId="174" formatCode="0.00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67" fontId="0" fillId="0" borderId="0" xfId="0" applyNumberFormat="1" applyProtection="1"/>
    <xf numFmtId="173" fontId="0" fillId="0" borderId="0" xfId="0" applyNumberFormat="1" applyProtection="1"/>
    <xf numFmtId="172" fontId="2" fillId="0" borderId="0" xfId="0" quotePrefix="1" applyNumberFormat="1" applyFont="1"/>
    <xf numFmtId="171" fontId="5" fillId="0" borderId="0" xfId="1" applyNumberFormat="1" applyFont="1" applyBorder="1" applyAlignment="1">
      <alignment horizontal="center"/>
    </xf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7" fillId="0" borderId="0" xfId="7" applyFont="1" applyAlignment="1">
      <alignment horizontal="left"/>
    </xf>
    <xf numFmtId="0" fontId="8" fillId="0" borderId="0" xfId="5" applyFont="1" applyAlignment="1" applyProtection="1"/>
    <xf numFmtId="0" fontId="3" fillId="0" borderId="0" xfId="8" applyFont="1"/>
    <xf numFmtId="0" fontId="9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1" fillId="0" borderId="0" xfId="8" applyFont="1" applyFill="1"/>
    <xf numFmtId="0" fontId="2" fillId="0" borderId="0" xfId="8" applyFont="1" applyBorder="1" applyAlignment="1">
      <alignment wrapText="1"/>
    </xf>
    <xf numFmtId="0" fontId="12" fillId="0" borderId="0" xfId="8" applyFont="1"/>
    <xf numFmtId="0" fontId="6" fillId="0" borderId="0" xfId="7" quotePrefix="1" applyAlignment="1">
      <alignment horizontal="left"/>
    </xf>
    <xf numFmtId="0" fontId="4" fillId="0" borderId="0" xfId="4" applyAlignment="1" applyProtection="1"/>
    <xf numFmtId="14" fontId="9" fillId="0" borderId="0" xfId="7" applyNumberFormat="1" applyFont="1" applyAlignment="1">
      <alignment horizontal="left"/>
    </xf>
    <xf numFmtId="171" fontId="0" fillId="0" borderId="0" xfId="0" applyNumberFormat="1"/>
    <xf numFmtId="0" fontId="13" fillId="0" borderId="1" xfId="0" applyFont="1" applyBorder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right"/>
    </xf>
    <xf numFmtId="16" fontId="13" fillId="0" borderId="1" xfId="0" quotePrefix="1" applyNumberFormat="1" applyFont="1" applyBorder="1"/>
    <xf numFmtId="16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indent="1"/>
    </xf>
    <xf numFmtId="0" fontId="14" fillId="0" borderId="0" xfId="0" quotePrefix="1" applyFont="1" applyAlignment="1">
      <alignment horizontal="right"/>
    </xf>
    <xf numFmtId="167" fontId="13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" fontId="13" fillId="0" borderId="0" xfId="1" applyNumberFormat="1" applyFont="1" applyBorder="1" applyAlignment="1">
      <alignment horizontal="right" indent="1"/>
    </xf>
    <xf numFmtId="165" fontId="13" fillId="0" borderId="0" xfId="1" applyNumberFormat="1" applyFont="1"/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center"/>
    </xf>
    <xf numFmtId="0" fontId="14" fillId="0" borderId="3" xfId="0" quotePrefix="1" applyFont="1" applyBorder="1" applyAlignment="1"/>
    <xf numFmtId="164" fontId="13" fillId="0" borderId="0" xfId="1" quotePrefix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1"/>
    </xf>
    <xf numFmtId="171" fontId="13" fillId="0" borderId="0" xfId="1" applyNumberFormat="1" applyFont="1" applyBorder="1" applyAlignment="1">
      <alignment horizontal="right"/>
    </xf>
    <xf numFmtId="171" fontId="13" fillId="0" borderId="0" xfId="1" quotePrefix="1" applyNumberFormat="1" applyFont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64" fontId="13" fillId="0" borderId="0" xfId="1" quotePrefix="1" applyNumberFormat="1" applyFont="1" applyAlignment="1">
      <alignment horizontal="center"/>
    </xf>
    <xf numFmtId="171" fontId="13" fillId="0" borderId="0" xfId="1" quotePrefix="1" applyNumberFormat="1" applyFont="1" applyAlignment="1">
      <alignment horizontal="right"/>
    </xf>
    <xf numFmtId="0" fontId="13" fillId="0" borderId="0" xfId="0" quotePrefix="1" applyFont="1"/>
    <xf numFmtId="171" fontId="13" fillId="0" borderId="1" xfId="1" applyNumberFormat="1" applyFont="1" applyBorder="1" applyAlignment="1">
      <alignment horizontal="right" indent="1"/>
    </xf>
    <xf numFmtId="0" fontId="15" fillId="0" borderId="0" xfId="0" applyFont="1" applyBorder="1"/>
    <xf numFmtId="164" fontId="13" fillId="0" borderId="0" xfId="0" applyNumberFormat="1" applyFont="1" applyBorder="1"/>
    <xf numFmtId="164" fontId="13" fillId="0" borderId="0" xfId="1" applyNumberFormat="1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3" fontId="13" fillId="0" borderId="0" xfId="1" applyNumberFormat="1" applyFont="1" applyAlignment="1">
      <alignment horizontal="right" indent="2"/>
    </xf>
    <xf numFmtId="3" fontId="13" fillId="0" borderId="0" xfId="1" applyNumberFormat="1" applyFont="1" applyAlignment="1">
      <alignment horizontal="right" indent="1"/>
    </xf>
    <xf numFmtId="3" fontId="13" fillId="0" borderId="0" xfId="1" applyNumberFormat="1" applyFont="1" applyAlignment="1">
      <alignment horizontal="center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2"/>
    </xf>
    <xf numFmtId="171" fontId="13" fillId="0" borderId="0" xfId="1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right" indent="2"/>
    </xf>
    <xf numFmtId="0" fontId="15" fillId="0" borderId="0" xfId="0" applyFont="1"/>
    <xf numFmtId="0" fontId="13" fillId="0" borderId="0" xfId="0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171" fontId="13" fillId="0" borderId="1" xfId="1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/>
    <xf numFmtId="37" fontId="13" fillId="0" borderId="0" xfId="1" applyNumberFormat="1" applyFont="1" applyAlignment="1">
      <alignment horizontal="center"/>
    </xf>
    <xf numFmtId="37" fontId="13" fillId="0" borderId="0" xfId="1" applyNumberFormat="1" applyFont="1" applyAlignment="1">
      <alignment horizontal="right" indent="2"/>
    </xf>
    <xf numFmtId="37" fontId="13" fillId="0" borderId="0" xfId="1" applyNumberFormat="1" applyFont="1" applyAlignment="1">
      <alignment horizontal="right" indent="1"/>
    </xf>
    <xf numFmtId="37" fontId="13" fillId="0" borderId="1" xfId="1" applyNumberFormat="1" applyFont="1" applyBorder="1" applyAlignment="1">
      <alignment horizontal="center"/>
    </xf>
    <xf numFmtId="37" fontId="13" fillId="0" borderId="1" xfId="1" applyNumberFormat="1" applyFont="1" applyBorder="1" applyAlignment="1">
      <alignment horizontal="right" indent="2"/>
    </xf>
    <xf numFmtId="165" fontId="13" fillId="0" borderId="1" xfId="1" applyNumberFormat="1" applyFont="1" applyBorder="1"/>
    <xf numFmtId="37" fontId="13" fillId="0" borderId="1" xfId="1" applyNumberFormat="1" applyFont="1" applyBorder="1" applyAlignment="1">
      <alignment horizontal="right" indent="1"/>
    </xf>
    <xf numFmtId="37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/>
    <xf numFmtId="1" fontId="13" fillId="0" borderId="0" xfId="0" applyNumberFormat="1" applyFont="1" applyAlignment="1">
      <alignment horizontal="center"/>
    </xf>
    <xf numFmtId="37" fontId="13" fillId="0" borderId="0" xfId="1" applyNumberFormat="1" applyFont="1" applyBorder="1" applyAlignment="1">
      <alignment horizontal="right" indent="1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4" fontId="13" fillId="0" borderId="0" xfId="0" applyNumberFormat="1" applyFont="1" applyAlignment="1">
      <alignment horizontal="right"/>
    </xf>
    <xf numFmtId="165" fontId="13" fillId="0" borderId="1" xfId="1" applyNumberFormat="1" applyFont="1" applyBorder="1" applyAlignment="1">
      <alignment horizontal="right"/>
    </xf>
    <xf numFmtId="16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right" indent="2"/>
    </xf>
    <xf numFmtId="43" fontId="13" fillId="0" borderId="0" xfId="1" quotePrefix="1" applyFont="1" applyBorder="1" applyAlignment="1">
      <alignment horizontal="center"/>
    </xf>
    <xf numFmtId="174" fontId="13" fillId="0" borderId="0" xfId="0" applyNumberFormat="1" applyFont="1" applyBorder="1"/>
    <xf numFmtId="43" fontId="13" fillId="0" borderId="0" xfId="1" quotePrefix="1" applyNumberFormat="1" applyFont="1" applyBorder="1" applyAlignment="1">
      <alignment horizontal="center"/>
    </xf>
    <xf numFmtId="166" fontId="13" fillId="0" borderId="0" xfId="1" quotePrefix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indent="2"/>
    </xf>
    <xf numFmtId="43" fontId="13" fillId="0" borderId="0" xfId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/>
    <xf numFmtId="43" fontId="13" fillId="0" borderId="0" xfId="1" applyNumberFormat="1" applyFont="1" applyBorder="1"/>
    <xf numFmtId="43" fontId="13" fillId="0" borderId="0" xfId="0" applyNumberFormat="1" applyFont="1"/>
    <xf numFmtId="165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13" fillId="0" borderId="0" xfId="0" quotePrefix="1" applyFont="1" applyBorder="1"/>
    <xf numFmtId="0" fontId="13" fillId="0" borderId="1" xfId="0" quotePrefix="1" applyFont="1" applyBorder="1"/>
    <xf numFmtId="43" fontId="13" fillId="0" borderId="1" xfId="1" applyFont="1" applyBorder="1" applyAlignment="1">
      <alignment horizontal="center"/>
    </xf>
    <xf numFmtId="168" fontId="13" fillId="0" borderId="0" xfId="0" applyNumberFormat="1" applyFont="1"/>
    <xf numFmtId="2" fontId="13" fillId="0" borderId="0" xfId="0" applyNumberFormat="1" applyFont="1"/>
    <xf numFmtId="2" fontId="0" fillId="0" borderId="0" xfId="0" applyNumberFormat="1" applyBorder="1" applyAlignment="1">
      <alignment wrapText="1"/>
    </xf>
    <xf numFmtId="14" fontId="0" fillId="0" borderId="0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0" fillId="0" borderId="0" xfId="0" quotePrefix="1" applyAlignment="1" applyProtection="1">
      <alignment horizontal="left"/>
    </xf>
    <xf numFmtId="0" fontId="2" fillId="0" borderId="0" xfId="10"/>
    <xf numFmtId="0" fontId="5" fillId="0" borderId="0" xfId="10" applyFont="1" applyBorder="1"/>
    <xf numFmtId="14" fontId="0" fillId="0" borderId="0" xfId="0" applyNumberFormat="1"/>
    <xf numFmtId="170" fontId="0" fillId="0" borderId="0" xfId="12" applyNumberFormat="1" applyFont="1"/>
    <xf numFmtId="167" fontId="0" fillId="0" borderId="0" xfId="12" applyNumberFormat="1" applyFont="1"/>
    <xf numFmtId="0" fontId="2" fillId="0" borderId="1" xfId="0" applyFont="1" applyBorder="1"/>
    <xf numFmtId="171" fontId="13" fillId="0" borderId="1" xfId="0" applyNumberFormat="1" applyFont="1" applyBorder="1"/>
    <xf numFmtId="171" fontId="13" fillId="0" borderId="1" xfId="1" applyNumberFormat="1" applyFont="1" applyBorder="1" applyAlignment="1">
      <alignment horizontal="right"/>
    </xf>
    <xf numFmtId="17" fontId="2" fillId="0" borderId="0" xfId="0" quotePrefix="1" applyNumberFormat="1" applyFont="1"/>
    <xf numFmtId="165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  <xf numFmtId="164" fontId="0" fillId="0" borderId="0" xfId="2" applyNumberFormat="1" applyFont="1"/>
    <xf numFmtId="17" fontId="13" fillId="0" borderId="0" xfId="0" applyNumberFormat="1" applyFont="1"/>
    <xf numFmtId="3" fontId="0" fillId="0" borderId="0" xfId="12" applyNumberFormat="1" applyFont="1"/>
    <xf numFmtId="0" fontId="2" fillId="0" borderId="0" xfId="0" applyFont="1" applyBorder="1"/>
    <xf numFmtId="0" fontId="1" fillId="0" borderId="0" xfId="0" applyFont="1"/>
    <xf numFmtId="1" fontId="1" fillId="0" borderId="0" xfId="0" applyNumberFormat="1" applyFont="1"/>
    <xf numFmtId="2" fontId="1" fillId="0" borderId="0" xfId="10" applyNumberFormat="1" applyFont="1"/>
    <xf numFmtId="0" fontId="1" fillId="0" borderId="0" xfId="10" applyFont="1" applyBorder="1"/>
    <xf numFmtId="0" fontId="14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1" xfId="0" applyNumberFormat="1" applyFont="1" applyBorder="1"/>
    <xf numFmtId="0" fontId="1" fillId="0" borderId="0" xfId="10" applyFont="1"/>
    <xf numFmtId="2" fontId="2" fillId="0" borderId="0" xfId="10" applyNumberFormat="1" applyBorder="1" applyAlignment="1">
      <alignment wrapText="1"/>
    </xf>
    <xf numFmtId="0" fontId="14" fillId="0" borderId="3" xfId="0" quotePrefix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167" fontId="1" fillId="0" borderId="0" xfId="0" applyNumberFormat="1" applyFont="1"/>
    <xf numFmtId="164" fontId="2" fillId="0" borderId="0" xfId="1" applyNumberFormat="1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3" fontId="1" fillId="0" borderId="0" xfId="12" applyNumberFormat="1" applyFont="1"/>
    <xf numFmtId="0" fontId="1" fillId="0" borderId="0" xfId="0" quotePrefix="1" applyFont="1"/>
    <xf numFmtId="0" fontId="1" fillId="0" borderId="0" xfId="10" applyFont="1" applyFill="1" applyBorder="1"/>
    <xf numFmtId="165" fontId="2" fillId="0" borderId="0" xfId="1" applyNumberFormat="1" applyFont="1" applyBorder="1" applyAlignment="1">
      <alignment wrapText="1"/>
    </xf>
    <xf numFmtId="165" fontId="1" fillId="0" borderId="0" xfId="1" applyNumberFormat="1" applyFont="1"/>
    <xf numFmtId="0" fontId="17" fillId="0" borderId="0" xfId="0" quotePrefix="1" applyFont="1" applyAlignment="1" applyProtection="1">
      <alignment horizontal="left"/>
    </xf>
    <xf numFmtId="0" fontId="13" fillId="0" borderId="0" xfId="0" applyFont="1" applyFill="1" applyBorder="1"/>
    <xf numFmtId="3" fontId="0" fillId="0" borderId="0" xfId="0" applyNumberFormat="1" applyProtection="1"/>
    <xf numFmtId="3" fontId="2" fillId="0" borderId="0" xfId="1" applyNumberFormat="1" applyFont="1" applyBorder="1" applyAlignment="1">
      <alignment wrapText="1"/>
    </xf>
    <xf numFmtId="3" fontId="0" fillId="0" borderId="0" xfId="0" applyNumberFormat="1"/>
    <xf numFmtId="14" fontId="0" fillId="0" borderId="0" xfId="0" applyNumberFormat="1" applyAlignment="1">
      <alignment wrapText="1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</cellXfs>
  <cellStyles count="13">
    <cellStyle name="Comma" xfId="1" builtinId="3"/>
    <cellStyle name="Comma 2" xfId="2"/>
    <cellStyle name="Comma 3" xfId="3"/>
    <cellStyle name="Hyperlink" xfId="4" builtinId="8"/>
    <cellStyle name="Hyperlink 2" xfId="5"/>
    <cellStyle name="Hyperlink 3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Percent" xfId="12" builtinId="5"/>
  </cellStyles>
  <dxfs count="0"/>
  <tableStyles count="0" defaultTableStyle="TableStyleMedium9" defaultPivotStyle="PivotStyleLight16"/>
  <colors>
    <mruColors>
      <color rgb="FFFFCF01"/>
      <color rgb="FF0066FF"/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3" algn="l" rtl="0">
              <a:defRPr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aseline="0"/>
              <a:t>Season-ending soybean stocks to shrink in 2019/20 following a much smaller crop </a:t>
            </a:r>
            <a:endParaRPr lang="en-US" sz="1050"/>
          </a:p>
        </c:rich>
      </c:tx>
      <c:layout>
        <c:manualLayout>
          <c:xMode val="edge"/>
          <c:yMode val="edge"/>
          <c:x val="3.3252104863308082E-2"/>
          <c:y val="8.88802791644960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03390556188967E-2"/>
          <c:y val="0.19511964750582575"/>
          <c:w val="0.74789475912285153"/>
          <c:h val="0.6616158969620916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Cover!$B$2</c:f>
              <c:strCache>
                <c:ptCount val="1"/>
                <c:pt idx="0">
                  <c:v>ending stocks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Cover!$A$4:$A$13</c:f>
              <c:strCache>
                <c:ptCount val="10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Cover!$B$4:$B$13</c:f>
              <c:numCache>
                <c:formatCode>_(* #,##0_);_(* \(#,##0\);_(* "-"??_);_(@_)</c:formatCode>
                <c:ptCount val="10"/>
                <c:pt idx="0">
                  <c:v>215.01300000000001</c:v>
                </c:pt>
                <c:pt idx="1">
                  <c:v>169.37</c:v>
                </c:pt>
                <c:pt idx="2">
                  <c:v>140.55699999999999</c:v>
                </c:pt>
                <c:pt idx="3">
                  <c:v>91.991</c:v>
                </c:pt>
                <c:pt idx="4">
                  <c:v>190.61</c:v>
                </c:pt>
                <c:pt idx="5">
                  <c:v>196.72900000000001</c:v>
                </c:pt>
                <c:pt idx="6">
                  <c:v>301.59500000000003</c:v>
                </c:pt>
                <c:pt idx="7">
                  <c:v>438.10500000000002</c:v>
                </c:pt>
                <c:pt idx="8">
                  <c:v>1005</c:v>
                </c:pt>
                <c:pt idx="9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886848"/>
        <c:axId val="-128886304"/>
      </c:barChart>
      <c:catAx>
        <c:axId val="-1288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/>
                  <a:t>Sources: USDA, National Agricultural  Statistics Service, </a:t>
                </a:r>
                <a:r>
                  <a:rPr lang="en-US" i="1"/>
                  <a:t>Grain Stocks</a:t>
                </a:r>
                <a:r>
                  <a:rPr lang="en-US" i="1" baseline="0"/>
                  <a:t> </a:t>
                </a:r>
                <a:r>
                  <a:rPr lang="en-US" i="0" baseline="0"/>
                  <a:t> and World Agricultural Outlook Board, World Agricultural Supply and Demand Estimates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5.461349329205719E-2"/>
              <c:y val="0.92565434235918576"/>
            </c:manualLayout>
          </c:layout>
          <c:overlay val="0"/>
        </c:title>
        <c:numFmt formatCode="[$-409]d\-mmm;@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86304"/>
        <c:crosses val="autoZero"/>
        <c:auto val="1"/>
        <c:lblAlgn val="ctr"/>
        <c:lblOffset val="100"/>
        <c:noMultiLvlLbl val="1"/>
      </c:catAx>
      <c:valAx>
        <c:axId val="-128886304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bushels</a:t>
                </a:r>
              </a:p>
            </c:rich>
          </c:tx>
          <c:layout>
            <c:manualLayout>
              <c:xMode val="edge"/>
              <c:yMode val="edge"/>
              <c:x val="3.578544368141949E-2"/>
              <c:y val="0.14155370568117268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86848"/>
        <c:crosses val="autoZero"/>
        <c:crossBetween val="between"/>
        <c:majorUnit val="100"/>
        <c:minorUnit val="10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 b="1"/>
              <a:t>U.S. soybean exports display a less pronounced seasonal pattern in 2018/19</a:t>
            </a:r>
          </a:p>
        </c:rich>
      </c:tx>
      <c:layout>
        <c:manualLayout>
          <c:xMode val="edge"/>
          <c:yMode val="edge"/>
          <c:x val="6.9190056029631006E-2"/>
          <c:y val="5.99377294859918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02072426781483"/>
          <c:y val="0.19511964750582575"/>
          <c:w val="0.72607747510518172"/>
          <c:h val="0.6557910876144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'Oil Crops Chart Gallery Fig 1'!$B$2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1'!$A$3:$A$14</c:f>
              <c:strCache>
                <c:ptCount val="12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'Oil Crops Chart Gallery Fig 1'!$B$3:$B$14</c:f>
              <c:numCache>
                <c:formatCode>#,##0</c:formatCode>
                <c:ptCount val="12"/>
                <c:pt idx="0">
                  <c:v>137.7782699598186</c:v>
                </c:pt>
                <c:pt idx="1">
                  <c:v>410.41489761016919</c:v>
                </c:pt>
                <c:pt idx="2">
                  <c:v>380.80373271896974</c:v>
                </c:pt>
                <c:pt idx="3">
                  <c:v>293.21892382075021</c:v>
                </c:pt>
                <c:pt idx="4">
                  <c:v>257.78695704539189</c:v>
                </c:pt>
                <c:pt idx="5">
                  <c:v>163.85937643089841</c:v>
                </c:pt>
                <c:pt idx="6">
                  <c:v>118.29873512020622</c:v>
                </c:pt>
                <c:pt idx="7">
                  <c:v>90.342257722157711</c:v>
                </c:pt>
                <c:pt idx="8">
                  <c:v>53.312514447805199</c:v>
                </c:pt>
                <c:pt idx="9">
                  <c:v>65.633727560188206</c:v>
                </c:pt>
                <c:pt idx="10">
                  <c:v>85.190735425683286</c:v>
                </c:pt>
                <c:pt idx="11">
                  <c:v>109.8717307774653</c:v>
                </c:pt>
              </c:numCache>
            </c:numRef>
          </c:val>
        </c:ser>
        <c:ser>
          <c:idx val="1"/>
          <c:order val="1"/>
          <c:tx>
            <c:strRef>
              <c:f>'Oil Crops Chart Gallery Fig 1'!$C$2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1'!$A$3:$A$14</c:f>
              <c:strCache>
                <c:ptCount val="12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'Oil Crops Chart Gallery Fig 1'!$C$3:$C$14</c:f>
              <c:numCache>
                <c:formatCode>#,##0</c:formatCode>
                <c:ptCount val="12"/>
                <c:pt idx="0">
                  <c:v>165.5294998054446</c:v>
                </c:pt>
                <c:pt idx="1">
                  <c:v>354.35580459463381</c:v>
                </c:pt>
                <c:pt idx="2">
                  <c:v>337.60273280046812</c:v>
                </c:pt>
                <c:pt idx="3">
                  <c:v>228.72608076007833</c:v>
                </c:pt>
                <c:pt idx="4">
                  <c:v>213.38108001991623</c:v>
                </c:pt>
                <c:pt idx="5">
                  <c:v>155.70608509538246</c:v>
                </c:pt>
                <c:pt idx="6">
                  <c:v>118.371485588559</c:v>
                </c:pt>
                <c:pt idx="7">
                  <c:v>80.632017907108505</c:v>
                </c:pt>
                <c:pt idx="8">
                  <c:v>114.29106911696041</c:v>
                </c:pt>
                <c:pt idx="9">
                  <c:v>114.7538567533344</c:v>
                </c:pt>
                <c:pt idx="10">
                  <c:v>125.85805473465422</c:v>
                </c:pt>
                <c:pt idx="11">
                  <c:v>124.52251140869402</c:v>
                </c:pt>
              </c:numCache>
            </c:numRef>
          </c:val>
        </c:ser>
        <c:ser>
          <c:idx val="2"/>
          <c:order val="2"/>
          <c:tx>
            <c:strRef>
              <c:f>'Oil Crops Chart Gallery Fig 1'!$D$2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1'!$A$3:$A$14</c:f>
              <c:strCache>
                <c:ptCount val="12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'Oil Crops Chart Gallery Fig 1'!$D$3:$D$14</c:f>
              <c:numCache>
                <c:formatCode>#,##0</c:formatCode>
                <c:ptCount val="12"/>
                <c:pt idx="0">
                  <c:v>122.55577488333481</c:v>
                </c:pt>
                <c:pt idx="1">
                  <c:v>200.5339872150447</c:v>
                </c:pt>
                <c:pt idx="2">
                  <c:v>179.28518329145763</c:v>
                </c:pt>
                <c:pt idx="3">
                  <c:v>147.50681559643891</c:v>
                </c:pt>
                <c:pt idx="4">
                  <c:v>177.40753561460582</c:v>
                </c:pt>
                <c:pt idx="5">
                  <c:v>168.18907741193249</c:v>
                </c:pt>
                <c:pt idx="6">
                  <c:v>136.19169183827341</c:v>
                </c:pt>
                <c:pt idx="7">
                  <c:v>88.157243997662704</c:v>
                </c:pt>
                <c:pt idx="8">
                  <c:v>94.079927086227599</c:v>
                </c:pt>
                <c:pt idx="9">
                  <c:v>117.34292220744238</c:v>
                </c:pt>
                <c:pt idx="10">
                  <c:v>135.23262023698769</c:v>
                </c:pt>
                <c:pt idx="11">
                  <c:v>179.2453587057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875424"/>
        <c:axId val="-128874880"/>
      </c:barChart>
      <c:catAx>
        <c:axId val="-1288754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Source: USDA, Foreign Agricultural Service, </a:t>
                </a:r>
                <a:r>
                  <a:rPr lang="en-US" sz="900" i="1"/>
                  <a:t>Global</a:t>
                </a:r>
                <a:r>
                  <a:rPr lang="en-US" sz="900" i="1" baseline="0"/>
                  <a:t> Agricultural Trade System</a:t>
                </a:r>
                <a:r>
                  <a:rPr lang="en-US" sz="900"/>
                  <a:t>.</a:t>
                </a:r>
              </a:p>
            </c:rich>
          </c:tx>
          <c:layout>
            <c:manualLayout>
              <c:xMode val="edge"/>
              <c:yMode val="edge"/>
              <c:x val="7.2172016408616618E-2"/>
              <c:y val="0.93422424127194725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74880"/>
        <c:crosses val="autoZero"/>
        <c:auto val="1"/>
        <c:lblAlgn val="ctr"/>
        <c:lblOffset val="300"/>
        <c:tickLblSkip val="1"/>
        <c:noMultiLvlLbl val="1"/>
      </c:catAx>
      <c:valAx>
        <c:axId val="-128874880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bushels.</a:t>
                </a:r>
              </a:p>
            </c:rich>
          </c:tx>
          <c:layout>
            <c:manualLayout>
              <c:xMode val="edge"/>
              <c:yMode val="edge"/>
              <c:x val="6.6877306019446137E-2"/>
              <c:y val="0.12116478313419261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75424"/>
        <c:crosses val="autoZero"/>
        <c:crossBetween val="between"/>
        <c:majorUnit val="100"/>
        <c:minorUnit val="10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4604495247082834"/>
          <c:y val="0.209611430552401"/>
          <c:w val="0.2562921877677502"/>
          <c:h val="0.120740482366783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Indian soybean production is supported by stable area and yields</a:t>
            </a:r>
          </a:p>
        </c:rich>
      </c:tx>
      <c:layout>
        <c:manualLayout>
          <c:xMode val="edge"/>
          <c:yMode val="edge"/>
          <c:x val="6.1348017895558805E-2"/>
          <c:y val="7.12687104588116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'Oil Crops Chart Gallery Fig 2'!$B$2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2'!$A$4:$A$10</c:f>
              <c:strCache>
                <c:ptCount val="7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</c:strCache>
            </c:strRef>
          </c:cat>
          <c:val>
            <c:numRef>
              <c:f>'Oil Crops Chart Gallery Fig 2'!$B$4:$B$10</c:f>
              <c:numCache>
                <c:formatCode>0.0</c:formatCode>
                <c:ptCount val="7"/>
                <c:pt idx="0">
                  <c:v>9.4770000000000003</c:v>
                </c:pt>
                <c:pt idx="1">
                  <c:v>8.7110000000000003</c:v>
                </c:pt>
                <c:pt idx="2">
                  <c:v>6.9290000000000003</c:v>
                </c:pt>
                <c:pt idx="3">
                  <c:v>10.992000000000001</c:v>
                </c:pt>
                <c:pt idx="4">
                  <c:v>8.35</c:v>
                </c:pt>
                <c:pt idx="5">
                  <c:v>11.5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874336"/>
        <c:axId val="-128880864"/>
      </c:barChart>
      <c:lineChart>
        <c:grouping val="standard"/>
        <c:varyColors val="0"/>
        <c:ser>
          <c:idx val="0"/>
          <c:order val="1"/>
          <c:tx>
            <c:strRef>
              <c:f>'Oil Crops Chart Gallery Fig 2'!$C$2</c:f>
              <c:strCache>
                <c:ptCount val="1"/>
                <c:pt idx="0">
                  <c:v>Area (right axis)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'Oil Crops Chart Gallery Fig 2'!$A$4:$A$10</c:f>
              <c:strCache>
                <c:ptCount val="7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</c:strCache>
            </c:strRef>
          </c:cat>
          <c:val>
            <c:numRef>
              <c:f>'Oil Crops Chart Gallery Fig 2'!$C$4:$C$10</c:f>
              <c:numCache>
                <c:formatCode>0.0</c:formatCode>
                <c:ptCount val="7"/>
                <c:pt idx="0">
                  <c:v>11.715999999999999</c:v>
                </c:pt>
                <c:pt idx="1">
                  <c:v>10.911</c:v>
                </c:pt>
                <c:pt idx="2">
                  <c:v>11.605</c:v>
                </c:pt>
                <c:pt idx="3">
                  <c:v>11.183</c:v>
                </c:pt>
                <c:pt idx="4">
                  <c:v>10.4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8885216"/>
        <c:axId val="-128877056"/>
      </c:lineChart>
      <c:catAx>
        <c:axId val="-12887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Source: USDA, Foreign Agricultural Service, PS&amp;D Online</a:t>
                </a:r>
                <a:r>
                  <a:rPr lang="en-US" sz="8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5.7838678567376421E-2"/>
              <c:y val="0.92886198748965898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80864"/>
        <c:crosses val="autoZero"/>
        <c:auto val="0"/>
        <c:lblAlgn val="ctr"/>
        <c:lblOffset val="100"/>
        <c:noMultiLvlLbl val="0"/>
      </c:catAx>
      <c:valAx>
        <c:axId val="-128880864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6.1231776852793234E-2"/>
              <c:y val="0.12330720564691315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874336"/>
        <c:crosses val="autoZero"/>
        <c:crossBetween val="between"/>
        <c:majorUnit val="5"/>
        <c:minorUnit val="1"/>
      </c:valAx>
      <c:valAx>
        <c:axId val="-128877056"/>
        <c:scaling>
          <c:orientation val="minMax"/>
          <c:max val="1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0.75138766220909148"/>
              <c:y val="0.127727129346926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28885216"/>
        <c:crosses val="max"/>
        <c:crossBetween val="between"/>
        <c:majorUnit val="5"/>
        <c:minorUnit val="1"/>
      </c:valAx>
      <c:catAx>
        <c:axId val="-12888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2887705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9.640118379582252E-2"/>
          <c:y val="0.18538792701668794"/>
          <c:w val="0.24238006969610193"/>
          <c:h val="0.133246584498845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5" name="Picture 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6" name="Picture 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7" name="Picture 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8" name="Picture 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9" name="Picture 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0" name="Picture 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1" name="Picture 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3" name="Picture 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4" name="Picture 1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5" name="Picture 1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6" name="Picture 1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7" name="Picture 1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8" name="Picture 1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9" name="Picture 1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0" name="Picture 1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1" name="Picture 1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2" name="Picture 1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3" name="Picture 1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4" name="Picture 2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5" name="Picture 2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6" name="Picture 2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7" name="Picture 2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8" name="Picture 2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9" name="Picture 2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0" name="Picture 2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1" name="Picture 2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2" name="Picture 2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3" name="Picture 2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4" name="Picture 3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5" name="Picture 3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6" name="Picture 3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7" name="Picture 3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8" name="Picture 3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9" name="Picture 3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0" name="Picture 3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1" name="Picture 3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2" name="Picture 3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3" name="Picture 3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4" name="Picture 4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5" name="Picture 4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6" name="Picture 4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7" name="Picture 209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8" name="Picture 209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9" name="Picture 210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0" name="Picture 210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1" name="Picture 210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2" name="Picture 210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3" name="Picture 210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4" name="Picture 210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439883</xdr:colOff>
      <xdr:row>0</xdr:row>
      <xdr:rowOff>30308</xdr:rowOff>
    </xdr:from>
    <xdr:to>
      <xdr:col>13</xdr:col>
      <xdr:colOff>264104</xdr:colOff>
      <xdr:row>25</xdr:row>
      <xdr:rowOff>156730</xdr:rowOff>
    </xdr:to>
    <xdr:graphicFrame macro="">
      <xdr:nvGraphicFramePr>
        <xdr:cNvPr id="3077" name="Chart 4" descr="A chart of annual season ending soybean stocks.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34636</xdr:colOff>
      <xdr:row>1</xdr:row>
      <xdr:rowOff>17319</xdr:rowOff>
    </xdr:from>
    <xdr:to>
      <xdr:col>3</xdr:col>
      <xdr:colOff>594591</xdr:colOff>
      <xdr:row>1</xdr:row>
      <xdr:rowOff>190500</xdr:rowOff>
    </xdr:to>
    <xdr:sp macro="" textlink="">
      <xdr:nvSpPr>
        <xdr:cNvPr id="2" name="TextBox 1"/>
        <xdr:cNvSpPr txBox="1"/>
      </xdr:nvSpPr>
      <xdr:spPr>
        <a:xfrm>
          <a:off x="2066636" y="178955"/>
          <a:ext cx="559955" cy="1731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88900</xdr:rowOff>
    </xdr:from>
    <xdr:to>
      <xdr:col>15</xdr:col>
      <xdr:colOff>181264</xdr:colOff>
      <xdr:row>26</xdr:row>
      <xdr:rowOff>144318</xdr:rowOff>
    </xdr:to>
    <xdr:graphicFrame macro="">
      <xdr:nvGraphicFramePr>
        <xdr:cNvPr id="2" name="Chart 4" descr="A chart of monthly U.S. soybean export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425450</xdr:colOff>
      <xdr:row>0</xdr:row>
      <xdr:rowOff>152400</xdr:rowOff>
    </xdr:from>
    <xdr:to>
      <xdr:col>5</xdr:col>
      <xdr:colOff>552450</xdr:colOff>
      <xdr:row>2</xdr:row>
      <xdr:rowOff>31750</xdr:rowOff>
    </xdr:to>
    <xdr:sp macro="" textlink="">
      <xdr:nvSpPr>
        <xdr:cNvPr id="3" name="TextBox 2"/>
        <xdr:cNvSpPr txBox="1"/>
      </xdr:nvSpPr>
      <xdr:spPr>
        <a:xfrm>
          <a:off x="3860800" y="152400"/>
          <a:ext cx="736600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60614</xdr:colOff>
      <xdr:row>0</xdr:row>
      <xdr:rowOff>77931</xdr:rowOff>
    </xdr:from>
    <xdr:to>
      <xdr:col>14</xdr:col>
      <xdr:colOff>371475</xdr:colOff>
      <xdr:row>24</xdr:row>
      <xdr:rowOff>139411</xdr:rowOff>
    </xdr:to>
    <xdr:graphicFrame macro="">
      <xdr:nvGraphicFramePr>
        <xdr:cNvPr id="3" name="Chart 4" descr="A chart of annual sunflowerseed production and yields for Russia and Ukraine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444500</xdr:colOff>
      <xdr:row>0</xdr:row>
      <xdr:rowOff>178953</xdr:rowOff>
    </xdr:from>
    <xdr:to>
      <xdr:col>5</xdr:col>
      <xdr:colOff>438728</xdr:colOff>
      <xdr:row>2</xdr:row>
      <xdr:rowOff>51953</xdr:rowOff>
    </xdr:to>
    <xdr:sp macro="" textlink="">
      <xdr:nvSpPr>
        <xdr:cNvPr id="2" name="TextBox 1"/>
        <xdr:cNvSpPr txBox="1"/>
      </xdr:nvSpPr>
      <xdr:spPr>
        <a:xfrm>
          <a:off x="3019136" y="178953"/>
          <a:ext cx="606137" cy="213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C18"/>
  <sheetViews>
    <sheetView tabSelected="1" workbookViewId="0">
      <selection activeCell="A2" sqref="A2"/>
    </sheetView>
  </sheetViews>
  <sheetFormatPr defaultColWidth="9.7109375" defaultRowHeight="12.75" x14ac:dyDescent="0.2"/>
  <cols>
    <col min="1" max="1" width="64.7109375" style="31" customWidth="1"/>
    <col min="2" max="16384" width="9.7109375" style="23"/>
  </cols>
  <sheetData>
    <row r="1" spans="1:3" ht="44.25" customHeight="1" x14ac:dyDescent="0.2">
      <c r="A1" s="22"/>
    </row>
    <row r="2" spans="1:3" ht="18" x14ac:dyDescent="0.25">
      <c r="A2" s="24" t="s">
        <v>120</v>
      </c>
    </row>
    <row r="3" spans="1:3" s="26" customFormat="1" ht="11.25" x14ac:dyDescent="0.2">
      <c r="A3" s="25"/>
    </row>
    <row r="4" spans="1:3" x14ac:dyDescent="0.2">
      <c r="A4" s="27" t="s">
        <v>121</v>
      </c>
    </row>
    <row r="5" spans="1:3" x14ac:dyDescent="0.2">
      <c r="A5" s="35">
        <f ca="1">TODAY()</f>
        <v>43724</v>
      </c>
      <c r="B5" s="28"/>
    </row>
    <row r="6" spans="1:3" s="26" customFormat="1" x14ac:dyDescent="0.2">
      <c r="A6" s="25"/>
      <c r="B6" s="28"/>
      <c r="C6" s="29"/>
    </row>
    <row r="7" spans="1:3" x14ac:dyDescent="0.2">
      <c r="A7" s="34" t="s">
        <v>72</v>
      </c>
      <c r="B7" s="30"/>
      <c r="C7" s="26"/>
    </row>
    <row r="8" spans="1:3" x14ac:dyDescent="0.2">
      <c r="A8" s="34" t="s">
        <v>23</v>
      </c>
      <c r="B8" s="32"/>
    </row>
    <row r="9" spans="1:3" x14ac:dyDescent="0.2">
      <c r="A9" s="34" t="s">
        <v>25</v>
      </c>
      <c r="B9" s="32"/>
    </row>
    <row r="10" spans="1:3" x14ac:dyDescent="0.2">
      <c r="A10" s="34" t="s">
        <v>11</v>
      </c>
      <c r="B10" s="32"/>
    </row>
    <row r="11" spans="1:3" x14ac:dyDescent="0.2">
      <c r="A11" s="34" t="s">
        <v>12</v>
      </c>
      <c r="B11" s="32"/>
    </row>
    <row r="12" spans="1:3" x14ac:dyDescent="0.2">
      <c r="A12" s="34" t="s">
        <v>13</v>
      </c>
      <c r="B12" s="32"/>
    </row>
    <row r="13" spans="1:3" x14ac:dyDescent="0.2">
      <c r="A13" s="34" t="s">
        <v>14</v>
      </c>
      <c r="B13" s="32"/>
    </row>
    <row r="14" spans="1:3" x14ac:dyDescent="0.2">
      <c r="A14" s="34" t="s">
        <v>51</v>
      </c>
      <c r="B14" s="32"/>
    </row>
    <row r="15" spans="1:3" x14ac:dyDescent="0.2">
      <c r="A15" s="34" t="s">
        <v>22</v>
      </c>
      <c r="B15" s="32"/>
    </row>
    <row r="16" spans="1:3" x14ac:dyDescent="0.2">
      <c r="A16" s="34" t="s">
        <v>43</v>
      </c>
      <c r="B16" s="32"/>
    </row>
    <row r="17" spans="1:2" x14ac:dyDescent="0.2">
      <c r="A17" s="33" t="s">
        <v>122</v>
      </c>
      <c r="B17" s="32"/>
    </row>
    <row r="18" spans="1:2" x14ac:dyDescent="0.2">
      <c r="A18" s="33" t="s">
        <v>123</v>
      </c>
    </row>
  </sheetData>
  <hyperlinks>
    <hyperlink ref="A7" location="'Table 1'!A1" display="Table 1--Soybeans:  Annual U.S. supply and disappearance"/>
    <hyperlink ref="A8" location="'Table 2'!A1" display="Table 2--Soybean meal:  U.S. supply and disappearance"/>
    <hyperlink ref="A9" location="'Table 3'!A1" display="Table 3--Soybean oil:  U.S. supply and disappearance"/>
    <hyperlink ref="A10" location="'Tables 4-7'!A1" display="Table 4--Cottonseed:  U.S. supply and disappearance"/>
    <hyperlink ref="A11" location="'Tables 4-7'!A1" display="Table 5--Cottonseed meal:  U.S. supply and disappearance"/>
    <hyperlink ref="A12" location="'Tables 4-7'!A1" display="Table 6--Cottonseed oil:  U.S. supply and disappearance"/>
    <hyperlink ref="A13" location="'Tables 4-7'!A1" display="Table 7--Peanuts:  U.S. supply and disappearance"/>
    <hyperlink ref="A14" location="'Table 8'!A1" display="Table 8--Oilseed prices received by U.S. farmers"/>
    <hyperlink ref="A15" location="'Table 9'!A1" display="Table 9--U.S. vegetable oil and fats prices"/>
    <hyperlink ref="A16" location="'Table 10'!A1" display="Table 10--U.S. oilseed meal prices 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workbookViewId="0">
      <selection activeCell="C23" sqref="C23"/>
    </sheetView>
  </sheetViews>
  <sheetFormatPr defaultRowHeight="12.75" x14ac:dyDescent="0.2"/>
  <cols>
    <col min="1" max="1" width="17" style="1" customWidth="1"/>
    <col min="2" max="3" width="10.7109375" style="1" customWidth="1"/>
    <col min="4" max="4" width="10.7109375" style="16" bestFit="1" customWidth="1"/>
    <col min="6" max="6" width="10.7109375" style="16" bestFit="1" customWidth="1"/>
  </cols>
  <sheetData>
    <row r="1" spans="1:12" x14ac:dyDescent="0.2">
      <c r="A1" s="162" t="s">
        <v>173</v>
      </c>
      <c r="E1" s="146"/>
      <c r="F1" s="129"/>
      <c r="I1" s="10"/>
      <c r="J1" s="20"/>
    </row>
    <row r="2" spans="1:12" ht="14.25" x14ac:dyDescent="0.2">
      <c r="A2" s="162" t="s">
        <v>186</v>
      </c>
      <c r="B2" s="169" t="s">
        <v>117</v>
      </c>
      <c r="C2" s="169" t="s">
        <v>119</v>
      </c>
      <c r="D2" s="169" t="s">
        <v>163</v>
      </c>
      <c r="E2" s="146"/>
      <c r="F2" s="38"/>
    </row>
    <row r="3" spans="1:12" ht="14.25" x14ac:dyDescent="0.2">
      <c r="A3" s="41" t="s">
        <v>175</v>
      </c>
      <c r="B3" s="171">
        <v>137.7782699598186</v>
      </c>
      <c r="C3" s="171">
        <v>165.5294998054446</v>
      </c>
      <c r="D3" s="171">
        <v>122.55577488333481</v>
      </c>
      <c r="E3" s="146"/>
      <c r="F3"/>
    </row>
    <row r="4" spans="1:12" ht="14.25" x14ac:dyDescent="0.2">
      <c r="A4" s="170" t="s">
        <v>176</v>
      </c>
      <c r="B4" s="171">
        <v>410.41489761016919</v>
      </c>
      <c r="C4" s="171">
        <v>354.35580459463381</v>
      </c>
      <c r="D4" s="171">
        <v>200.5339872150447</v>
      </c>
      <c r="E4" s="160"/>
      <c r="F4" s="139"/>
      <c r="I4" s="141"/>
      <c r="J4" s="142"/>
    </row>
    <row r="5" spans="1:12" ht="14.25" x14ac:dyDescent="0.2">
      <c r="A5" s="41" t="s">
        <v>177</v>
      </c>
      <c r="B5" s="171">
        <v>380.80373271896974</v>
      </c>
      <c r="C5" s="171">
        <v>337.60273280046812</v>
      </c>
      <c r="D5" s="171">
        <v>179.28518329145763</v>
      </c>
      <c r="E5" s="160"/>
      <c r="F5" s="139"/>
      <c r="I5" s="141"/>
      <c r="J5" s="142"/>
    </row>
    <row r="6" spans="1:12" ht="14.25" x14ac:dyDescent="0.2">
      <c r="A6" s="170" t="s">
        <v>178</v>
      </c>
      <c r="B6" s="171">
        <v>293.21892382075021</v>
      </c>
      <c r="C6" s="171">
        <v>228.72608076007833</v>
      </c>
      <c r="D6" s="171">
        <v>147.50681559643891</v>
      </c>
      <c r="E6" s="160"/>
      <c r="F6" s="139"/>
      <c r="I6" s="141"/>
      <c r="J6" s="142"/>
    </row>
    <row r="7" spans="1:12" ht="14.25" x14ac:dyDescent="0.2">
      <c r="A7" s="41" t="s">
        <v>179</v>
      </c>
      <c r="B7" s="171">
        <v>257.78695704539189</v>
      </c>
      <c r="C7" s="171">
        <v>213.38108001991623</v>
      </c>
      <c r="D7" s="171">
        <v>177.40753561460582</v>
      </c>
      <c r="E7" s="160"/>
      <c r="F7" s="139"/>
      <c r="I7" s="141"/>
      <c r="J7" s="142"/>
    </row>
    <row r="8" spans="1:12" ht="14.25" x14ac:dyDescent="0.2">
      <c r="A8" s="170" t="s">
        <v>180</v>
      </c>
      <c r="B8" s="171">
        <v>163.85937643089841</v>
      </c>
      <c r="C8" s="171">
        <v>155.70608509538246</v>
      </c>
      <c r="D8" s="171">
        <v>168.18907741193249</v>
      </c>
      <c r="E8" s="160"/>
      <c r="F8" s="139"/>
      <c r="I8" s="141"/>
      <c r="J8" s="142"/>
    </row>
    <row r="9" spans="1:12" ht="14.25" x14ac:dyDescent="0.2">
      <c r="A9" s="41" t="s">
        <v>181</v>
      </c>
      <c r="B9" s="171">
        <v>118.29873512020622</v>
      </c>
      <c r="C9" s="171">
        <v>118.371485588559</v>
      </c>
      <c r="D9" s="171">
        <v>136.19169183827341</v>
      </c>
      <c r="E9" s="160"/>
      <c r="F9" s="139"/>
      <c r="H9" s="142"/>
      <c r="I9" s="141"/>
      <c r="J9" s="142"/>
    </row>
    <row r="10" spans="1:12" ht="14.25" x14ac:dyDescent="0.2">
      <c r="A10" s="170" t="s">
        <v>182</v>
      </c>
      <c r="B10" s="171">
        <v>90.342257722157711</v>
      </c>
      <c r="C10" s="171">
        <v>80.632017907108505</v>
      </c>
      <c r="D10" s="171">
        <v>88.157243997662704</v>
      </c>
      <c r="E10" s="160"/>
      <c r="F10" s="139"/>
      <c r="H10" s="142"/>
      <c r="I10" s="141"/>
      <c r="J10" s="142"/>
    </row>
    <row r="11" spans="1:12" ht="14.25" x14ac:dyDescent="0.2">
      <c r="A11" s="41" t="s">
        <v>64</v>
      </c>
      <c r="B11" s="171">
        <v>53.312514447805199</v>
      </c>
      <c r="C11" s="171">
        <v>114.29106911696041</v>
      </c>
      <c r="D11" s="171">
        <v>94.079927086227599</v>
      </c>
      <c r="E11" s="160"/>
      <c r="F11" s="139"/>
      <c r="H11" s="142"/>
      <c r="I11" s="141"/>
    </row>
    <row r="12" spans="1:12" ht="14.25" x14ac:dyDescent="0.2">
      <c r="A12" s="170" t="s">
        <v>183</v>
      </c>
      <c r="B12" s="171">
        <v>65.633727560188206</v>
      </c>
      <c r="C12" s="171">
        <v>114.7538567533344</v>
      </c>
      <c r="D12" s="171">
        <v>117.34292220744238</v>
      </c>
      <c r="E12" s="160"/>
      <c r="F12" s="139"/>
      <c r="H12" s="142"/>
      <c r="I12" s="141"/>
    </row>
    <row r="13" spans="1:12" ht="14.25" x14ac:dyDescent="0.2">
      <c r="A13" s="41" t="s">
        <v>184</v>
      </c>
      <c r="B13" s="171">
        <v>85.190735425683286</v>
      </c>
      <c r="C13" s="171">
        <v>125.85805473465422</v>
      </c>
      <c r="D13" s="171">
        <v>135.23262023698769</v>
      </c>
      <c r="E13" s="160"/>
      <c r="F13" s="139"/>
      <c r="H13" s="142"/>
      <c r="I13" s="141"/>
    </row>
    <row r="14" spans="1:12" ht="14.25" x14ac:dyDescent="0.2">
      <c r="A14" s="170" t="s">
        <v>185</v>
      </c>
      <c r="B14" s="171">
        <v>109.8717307774653</v>
      </c>
      <c r="C14" s="171">
        <v>124.52251140869402</v>
      </c>
      <c r="D14" s="171">
        <v>179.2453587057</v>
      </c>
      <c r="E14" s="160"/>
      <c r="F14" s="139"/>
      <c r="H14" s="142"/>
      <c r="I14" s="141"/>
    </row>
    <row r="15" spans="1:12" ht="14.25" x14ac:dyDescent="0.2">
      <c r="A15" s="38"/>
      <c r="B15" s="168"/>
      <c r="C15" s="160"/>
      <c r="D15" s="160"/>
      <c r="E15" s="160"/>
      <c r="F15" s="142"/>
      <c r="H15" s="142"/>
    </row>
    <row r="16" spans="1:12" x14ac:dyDescent="0.2">
      <c r="A16" s="146"/>
      <c r="B16" s="147"/>
      <c r="C16" s="138"/>
      <c r="D16" s="142"/>
      <c r="E16" s="140"/>
      <c r="F16" s="142"/>
      <c r="J16" s="139"/>
      <c r="K16" s="139"/>
      <c r="L16" s="139"/>
    </row>
    <row r="17" spans="1:11" x14ac:dyDescent="0.2">
      <c r="E17" s="140"/>
      <c r="F17" s="142"/>
      <c r="J17" s="13"/>
      <c r="K17" s="13"/>
    </row>
    <row r="18" spans="1:11" x14ac:dyDescent="0.2">
      <c r="E18" s="140"/>
      <c r="F18" s="142"/>
      <c r="H18" s="141"/>
      <c r="I18" s="141"/>
      <c r="J18" s="13"/>
      <c r="K18" s="13"/>
    </row>
    <row r="19" spans="1:11" x14ac:dyDescent="0.2">
      <c r="E19" s="140"/>
      <c r="F19" s="142"/>
      <c r="H19" s="9"/>
      <c r="I19" s="141"/>
      <c r="J19" s="13"/>
      <c r="K19" s="13"/>
    </row>
    <row r="20" spans="1:11" x14ac:dyDescent="0.2">
      <c r="E20" s="140"/>
      <c r="F20" s="142"/>
      <c r="H20" s="9"/>
      <c r="I20" s="141"/>
      <c r="J20" s="13"/>
      <c r="K20" s="13"/>
    </row>
    <row r="21" spans="1:11" x14ac:dyDescent="0.2">
      <c r="E21" s="140"/>
      <c r="F21" s="142"/>
      <c r="H21" s="9"/>
      <c r="I21" s="141"/>
      <c r="J21" s="13"/>
      <c r="K21" s="13"/>
    </row>
    <row r="22" spans="1:11" x14ac:dyDescent="0.2">
      <c r="E22" s="140"/>
      <c r="F22" s="142"/>
      <c r="H22" s="9"/>
      <c r="I22" s="141"/>
      <c r="J22" s="13"/>
      <c r="K22" s="13"/>
    </row>
    <row r="23" spans="1:11" x14ac:dyDescent="0.2">
      <c r="E23" s="140"/>
      <c r="F23" s="9"/>
      <c r="H23" s="9"/>
      <c r="I23" s="141"/>
      <c r="J23" s="13"/>
      <c r="K23" s="13"/>
    </row>
    <row r="24" spans="1:11" x14ac:dyDescent="0.2">
      <c r="E24" s="140"/>
      <c r="F24" s="9"/>
      <c r="H24" s="9"/>
      <c r="I24" s="141"/>
      <c r="J24" s="13"/>
      <c r="K24" s="13"/>
    </row>
    <row r="25" spans="1:11" x14ac:dyDescent="0.2">
      <c r="E25" s="140"/>
      <c r="F25" s="9"/>
      <c r="H25" s="9"/>
      <c r="I25" s="141"/>
      <c r="J25" s="13"/>
      <c r="K25" s="13"/>
    </row>
    <row r="26" spans="1:11" x14ac:dyDescent="0.2">
      <c r="E26" s="140"/>
      <c r="F26" s="9"/>
      <c r="H26" s="9"/>
      <c r="I26" s="141"/>
      <c r="J26" s="13"/>
      <c r="K26" s="13"/>
    </row>
    <row r="27" spans="1:11" x14ac:dyDescent="0.2">
      <c r="E27" s="140"/>
      <c r="F27" s="9"/>
      <c r="H27" s="9"/>
      <c r="I27" s="141"/>
      <c r="J27" s="13"/>
      <c r="K27" s="13"/>
    </row>
    <row r="28" spans="1:11" x14ac:dyDescent="0.2">
      <c r="E28" s="140"/>
      <c r="F28" s="9"/>
      <c r="H28" s="9"/>
      <c r="I28" s="141"/>
      <c r="J28" s="13"/>
      <c r="K28" s="13"/>
    </row>
    <row r="29" spans="1:11" x14ac:dyDescent="0.2">
      <c r="E29" s="140"/>
      <c r="F29" s="9"/>
      <c r="H29" s="9"/>
      <c r="I29" s="141"/>
    </row>
    <row r="30" spans="1:11" x14ac:dyDescent="0.2">
      <c r="A30" s="146"/>
      <c r="B30" s="147"/>
      <c r="C30" s="19"/>
      <c r="D30" s="9"/>
      <c r="E30" s="9"/>
      <c r="F30" s="9"/>
      <c r="H30" s="9"/>
      <c r="I30" s="141"/>
    </row>
    <row r="31" spans="1:11" x14ac:dyDescent="0.2">
      <c r="A31" s="146"/>
      <c r="B31" s="147"/>
      <c r="C31" s="147"/>
      <c r="D31" s="147"/>
      <c r="E31" s="141"/>
      <c r="F31" s="141"/>
      <c r="H31" s="141"/>
      <c r="I31" s="141"/>
    </row>
    <row r="32" spans="1:11" x14ac:dyDescent="0.2">
      <c r="A32" s="146"/>
      <c r="B32" s="147"/>
      <c r="C32" s="147"/>
      <c r="D32" s="147"/>
      <c r="E32" s="141"/>
      <c r="F32" s="141"/>
      <c r="H32" s="141"/>
      <c r="I32" s="141"/>
    </row>
    <row r="33" spans="1:9" x14ac:dyDescent="0.2">
      <c r="A33" s="146"/>
      <c r="B33" s="147"/>
      <c r="C33" s="147"/>
      <c r="D33" s="147"/>
      <c r="E33" s="141"/>
      <c r="F33" s="141"/>
      <c r="H33" s="141"/>
      <c r="I33" s="141"/>
    </row>
    <row r="34" spans="1:9" x14ac:dyDescent="0.2">
      <c r="A34" s="146"/>
      <c r="B34" s="147"/>
      <c r="C34" s="147"/>
      <c r="D34" s="147"/>
      <c r="E34" s="13"/>
      <c r="F34" s="13"/>
      <c r="H34" s="13"/>
    </row>
    <row r="35" spans="1:9" x14ac:dyDescent="0.2">
      <c r="A35" s="146"/>
      <c r="B35" s="147"/>
      <c r="C35" s="147"/>
      <c r="D35" s="147"/>
      <c r="E35" s="13"/>
      <c r="F35" s="13"/>
      <c r="H35" s="13"/>
    </row>
    <row r="36" spans="1:9" x14ac:dyDescent="0.2">
      <c r="A36" s="146"/>
      <c r="B36" s="147"/>
      <c r="C36" s="147"/>
      <c r="D36" s="147"/>
      <c r="E36" s="13"/>
      <c r="F36" s="13"/>
      <c r="H36" s="13"/>
    </row>
    <row r="37" spans="1:9" x14ac:dyDescent="0.2">
      <c r="A37" s="146"/>
      <c r="B37" s="147"/>
      <c r="C37" s="147"/>
      <c r="D37" s="147"/>
      <c r="E37" s="13"/>
      <c r="F37" s="13"/>
      <c r="H37" s="13"/>
    </row>
    <row r="38" spans="1:9" x14ac:dyDescent="0.2">
      <c r="A38" s="146"/>
      <c r="B38" s="147"/>
      <c r="C38" s="147"/>
      <c r="D38" s="147"/>
      <c r="E38" s="13"/>
      <c r="F38" s="13"/>
      <c r="H38" s="13"/>
    </row>
    <row r="39" spans="1:9" x14ac:dyDescent="0.2">
      <c r="A39" s="146"/>
      <c r="B39" s="147"/>
      <c r="C39" s="147"/>
      <c r="D39" s="147"/>
      <c r="E39" s="13"/>
      <c r="F39" s="13"/>
      <c r="H39" s="13"/>
    </row>
    <row r="40" spans="1:9" x14ac:dyDescent="0.2">
      <c r="A40" s="146"/>
      <c r="B40" s="147"/>
      <c r="C40" s="147"/>
      <c r="D40" s="147"/>
      <c r="E40" s="13"/>
      <c r="F40" s="13"/>
      <c r="H40" s="13"/>
    </row>
    <row r="41" spans="1:9" x14ac:dyDescent="0.2">
      <c r="A41" s="146"/>
      <c r="B41" s="147"/>
      <c r="C41" s="147"/>
      <c r="D41" s="147"/>
      <c r="E41" s="13"/>
      <c r="F41" s="13"/>
      <c r="H41" s="13"/>
    </row>
    <row r="42" spans="1:9" x14ac:dyDescent="0.2">
      <c r="A42" s="146"/>
      <c r="B42" s="147"/>
      <c r="C42" s="147"/>
      <c r="D42" s="147"/>
      <c r="E42" s="13"/>
      <c r="F42" s="13"/>
      <c r="H42" s="13"/>
    </row>
    <row r="43" spans="1:9" x14ac:dyDescent="0.2">
      <c r="A43" s="146"/>
      <c r="B43" s="147"/>
      <c r="C43" s="147"/>
      <c r="D43" s="147"/>
      <c r="E43" s="13"/>
      <c r="F43" s="13"/>
      <c r="H43" s="13"/>
    </row>
    <row r="44" spans="1:9" x14ac:dyDescent="0.2">
      <c r="A44" s="126"/>
      <c r="B44" s="126"/>
      <c r="C44" s="126"/>
      <c r="D44" s="125"/>
      <c r="F44" s="125"/>
    </row>
    <row r="45" spans="1:9" x14ac:dyDescent="0.2">
      <c r="A45" s="126"/>
      <c r="B45" s="126"/>
      <c r="C45" s="126"/>
      <c r="D45" s="125"/>
      <c r="F45" s="125"/>
    </row>
    <row r="46" spans="1:9" x14ac:dyDescent="0.2">
      <c r="A46" s="126"/>
      <c r="B46" s="126"/>
      <c r="C46" s="126"/>
      <c r="D46" s="125"/>
      <c r="F46" s="125"/>
    </row>
    <row r="47" spans="1:9" x14ac:dyDescent="0.2">
      <c r="A47" s="126"/>
      <c r="B47" s="126"/>
      <c r="C47" s="126"/>
      <c r="D47" s="125"/>
      <c r="F47" s="125"/>
    </row>
    <row r="48" spans="1:9" x14ac:dyDescent="0.2">
      <c r="A48" s="126"/>
      <c r="B48" s="126"/>
      <c r="C48" s="126"/>
      <c r="D48" s="125"/>
      <c r="F48" s="125"/>
    </row>
    <row r="49" spans="1:6" x14ac:dyDescent="0.2">
      <c r="A49" s="126"/>
      <c r="B49" s="126"/>
      <c r="C49" s="126"/>
      <c r="D49" s="125"/>
      <c r="F49" s="125"/>
    </row>
    <row r="50" spans="1:6" x14ac:dyDescent="0.2">
      <c r="A50" s="126"/>
      <c r="B50" s="126"/>
      <c r="C50" s="126"/>
      <c r="D50" s="125"/>
      <c r="F50" s="125"/>
    </row>
    <row r="51" spans="1:6" x14ac:dyDescent="0.2">
      <c r="A51" s="126"/>
      <c r="B51" s="126"/>
      <c r="C51" s="126"/>
      <c r="D51" s="125"/>
      <c r="F51" s="125"/>
    </row>
    <row r="52" spans="1:6" x14ac:dyDescent="0.2">
      <c r="A52" s="126"/>
      <c r="B52" s="126"/>
      <c r="C52" s="126"/>
      <c r="D52" s="125"/>
      <c r="F52" s="125"/>
    </row>
    <row r="53" spans="1:6" x14ac:dyDescent="0.2">
      <c r="A53" s="126"/>
      <c r="B53" s="126"/>
      <c r="C53" s="126"/>
      <c r="D53" s="125"/>
      <c r="F53" s="125"/>
    </row>
    <row r="54" spans="1:6" x14ac:dyDescent="0.2">
      <c r="A54" s="126"/>
      <c r="B54" s="126"/>
      <c r="C54" s="126"/>
      <c r="D54" s="125"/>
      <c r="F54" s="125"/>
    </row>
    <row r="55" spans="1:6" x14ac:dyDescent="0.2">
      <c r="A55" s="126"/>
      <c r="B55" s="126"/>
      <c r="C55" s="126"/>
      <c r="D55" s="125"/>
      <c r="F55" s="125"/>
    </row>
    <row r="56" spans="1:6" x14ac:dyDescent="0.2">
      <c r="A56" s="126"/>
      <c r="B56" s="126"/>
      <c r="C56" s="126"/>
      <c r="D56" s="125"/>
      <c r="F56" s="125"/>
    </row>
    <row r="57" spans="1:6" x14ac:dyDescent="0.2">
      <c r="A57" s="126"/>
      <c r="B57" s="126"/>
      <c r="C57" s="126"/>
      <c r="D57" s="125"/>
      <c r="F57" s="125"/>
    </row>
    <row r="58" spans="1:6" x14ac:dyDescent="0.2">
      <c r="A58" s="126"/>
      <c r="B58" s="126"/>
      <c r="C58" s="126"/>
      <c r="D58" s="125"/>
      <c r="F58" s="125"/>
    </row>
    <row r="59" spans="1:6" x14ac:dyDescent="0.2">
      <c r="A59" s="126"/>
      <c r="B59" s="126"/>
      <c r="C59" s="126"/>
      <c r="D59" s="125"/>
      <c r="F59" s="125"/>
    </row>
    <row r="60" spans="1:6" x14ac:dyDescent="0.2">
      <c r="A60" s="126"/>
      <c r="B60" s="126"/>
      <c r="C60" s="126"/>
      <c r="D60" s="125"/>
      <c r="F60" s="125"/>
    </row>
    <row r="61" spans="1:6" x14ac:dyDescent="0.2">
      <c r="A61" s="126"/>
      <c r="B61" s="126"/>
      <c r="C61" s="126"/>
      <c r="D61" s="125"/>
      <c r="F61" s="125"/>
    </row>
    <row r="62" spans="1:6" x14ac:dyDescent="0.2">
      <c r="A62" s="126"/>
      <c r="B62" s="126"/>
      <c r="C62" s="126"/>
      <c r="D62" s="125"/>
      <c r="F62" s="125"/>
    </row>
    <row r="63" spans="1:6" x14ac:dyDescent="0.2">
      <c r="A63" s="126"/>
      <c r="B63" s="126"/>
      <c r="C63" s="126"/>
      <c r="D63" s="125"/>
      <c r="F63" s="125"/>
    </row>
    <row r="64" spans="1:6" x14ac:dyDescent="0.2">
      <c r="A64" s="126"/>
      <c r="B64" s="126"/>
      <c r="C64" s="126"/>
      <c r="D64" s="125"/>
      <c r="F64" s="125"/>
    </row>
    <row r="65" spans="1:6" x14ac:dyDescent="0.2">
      <c r="A65" s="126"/>
      <c r="B65" s="126"/>
      <c r="C65" s="126"/>
      <c r="D65" s="125"/>
      <c r="F65" s="125"/>
    </row>
    <row r="66" spans="1:6" x14ac:dyDescent="0.2">
      <c r="A66" s="126"/>
      <c r="B66" s="126"/>
      <c r="C66" s="126"/>
      <c r="D66" s="125"/>
      <c r="F66" s="125"/>
    </row>
    <row r="67" spans="1:6" x14ac:dyDescent="0.2">
      <c r="A67" s="126"/>
      <c r="B67" s="126"/>
      <c r="C67" s="126"/>
      <c r="D67" s="125"/>
      <c r="F67" s="125"/>
    </row>
    <row r="68" spans="1:6" x14ac:dyDescent="0.2">
      <c r="A68" s="126"/>
      <c r="B68" s="126"/>
      <c r="C68" s="126"/>
      <c r="D68" s="125"/>
      <c r="F68" s="125"/>
    </row>
    <row r="69" spans="1:6" x14ac:dyDescent="0.2">
      <c r="A69" s="126"/>
      <c r="B69" s="126"/>
      <c r="C69" s="126"/>
      <c r="D69" s="125"/>
      <c r="F69" s="125"/>
    </row>
    <row r="70" spans="1:6" x14ac:dyDescent="0.2">
      <c r="A70" s="126"/>
      <c r="B70" s="126"/>
      <c r="C70" s="126"/>
      <c r="D70" s="125"/>
      <c r="F70" s="125"/>
    </row>
    <row r="71" spans="1:6" x14ac:dyDescent="0.2">
      <c r="A71" s="126"/>
      <c r="B71" s="126"/>
      <c r="C71" s="126"/>
      <c r="D71" s="125"/>
      <c r="F71" s="125"/>
    </row>
    <row r="72" spans="1:6" x14ac:dyDescent="0.2">
      <c r="A72" s="126"/>
      <c r="B72" s="126"/>
      <c r="C72" s="126"/>
      <c r="D72" s="125"/>
      <c r="F72" s="125"/>
    </row>
    <row r="73" spans="1:6" x14ac:dyDescent="0.2">
      <c r="A73" s="126"/>
      <c r="B73" s="126"/>
      <c r="C73" s="126"/>
      <c r="D73" s="125"/>
      <c r="F73" s="125"/>
    </row>
    <row r="74" spans="1:6" x14ac:dyDescent="0.2">
      <c r="A74" s="126"/>
      <c r="B74" s="126"/>
      <c r="C74" s="126"/>
      <c r="D74" s="125"/>
      <c r="F74" s="125"/>
    </row>
    <row r="75" spans="1:6" x14ac:dyDescent="0.2">
      <c r="A75" s="126"/>
      <c r="B75" s="126"/>
      <c r="C75" s="126"/>
      <c r="D75" s="125"/>
      <c r="F75" s="125"/>
    </row>
    <row r="76" spans="1:6" x14ac:dyDescent="0.2">
      <c r="A76" s="126"/>
      <c r="B76" s="126"/>
      <c r="C76" s="126"/>
      <c r="D76" s="125"/>
      <c r="F76" s="125"/>
    </row>
    <row r="77" spans="1:6" x14ac:dyDescent="0.2">
      <c r="A77" s="126"/>
      <c r="B77" s="126"/>
      <c r="C77" s="126"/>
      <c r="D77" s="125"/>
      <c r="F77" s="125"/>
    </row>
    <row r="78" spans="1:6" x14ac:dyDescent="0.2">
      <c r="A78" s="126"/>
      <c r="B78" s="126"/>
      <c r="C78" s="126"/>
      <c r="D78" s="125"/>
      <c r="F78" s="125"/>
    </row>
    <row r="79" spans="1:6" x14ac:dyDescent="0.2">
      <c r="A79" s="126"/>
      <c r="B79" s="126"/>
      <c r="C79" s="126"/>
      <c r="D79" s="125"/>
      <c r="F79" s="125"/>
    </row>
    <row r="80" spans="1:6" x14ac:dyDescent="0.2">
      <c r="A80" s="126"/>
      <c r="B80" s="126"/>
      <c r="C80" s="126"/>
      <c r="D80" s="125"/>
      <c r="F80" s="125"/>
    </row>
    <row r="81" spans="1:6" x14ac:dyDescent="0.2">
      <c r="A81" s="126"/>
      <c r="B81" s="126"/>
      <c r="C81" s="126"/>
      <c r="D81" s="125"/>
      <c r="F81" s="125"/>
    </row>
    <row r="82" spans="1:6" x14ac:dyDescent="0.2">
      <c r="A82" s="126"/>
      <c r="B82" s="126"/>
      <c r="C82" s="126"/>
      <c r="D82" s="125"/>
      <c r="F82" s="125"/>
    </row>
    <row r="83" spans="1:6" x14ac:dyDescent="0.2">
      <c r="A83" s="126"/>
      <c r="B83" s="126"/>
      <c r="C83" s="126"/>
      <c r="D83" s="125"/>
      <c r="F83" s="125"/>
    </row>
    <row r="84" spans="1:6" x14ac:dyDescent="0.2">
      <c r="A84" s="126"/>
      <c r="B84" s="126"/>
      <c r="C84" s="126"/>
      <c r="D84" s="125"/>
      <c r="F84" s="125"/>
    </row>
    <row r="85" spans="1:6" x14ac:dyDescent="0.2">
      <c r="A85" s="126"/>
      <c r="B85" s="126"/>
      <c r="C85" s="126"/>
      <c r="D85" s="125"/>
      <c r="F85" s="125"/>
    </row>
    <row r="86" spans="1:6" x14ac:dyDescent="0.2">
      <c r="A86" s="126"/>
      <c r="B86" s="126"/>
      <c r="C86" s="126"/>
      <c r="D86" s="125"/>
      <c r="F86" s="125"/>
    </row>
    <row r="87" spans="1:6" x14ac:dyDescent="0.2">
      <c r="A87" s="126"/>
      <c r="B87" s="126"/>
      <c r="C87" s="126"/>
      <c r="D87" s="125"/>
      <c r="F87" s="125"/>
    </row>
    <row r="88" spans="1:6" x14ac:dyDescent="0.2">
      <c r="A88" s="126"/>
      <c r="B88" s="126"/>
      <c r="C88" s="126"/>
      <c r="D88" s="125"/>
      <c r="F88" s="125"/>
    </row>
    <row r="89" spans="1:6" x14ac:dyDescent="0.2">
      <c r="A89" s="126"/>
      <c r="B89" s="126"/>
      <c r="C89" s="126"/>
      <c r="D89" s="125"/>
      <c r="F89" s="125"/>
    </row>
    <row r="90" spans="1:6" x14ac:dyDescent="0.2">
      <c r="A90" s="126"/>
      <c r="B90" s="126"/>
      <c r="C90" s="126"/>
      <c r="D90" s="125"/>
      <c r="F90" s="125"/>
    </row>
    <row r="91" spans="1:6" x14ac:dyDescent="0.2">
      <c r="A91" s="126"/>
      <c r="B91" s="126"/>
      <c r="C91" s="126"/>
      <c r="D91" s="125"/>
      <c r="F91" s="125"/>
    </row>
    <row r="92" spans="1:6" x14ac:dyDescent="0.2">
      <c r="A92" s="126"/>
      <c r="B92" s="126"/>
      <c r="C92" s="126"/>
      <c r="D92" s="125"/>
      <c r="F92" s="125"/>
    </row>
    <row r="93" spans="1:6" x14ac:dyDescent="0.2">
      <c r="A93" s="126"/>
      <c r="B93" s="126"/>
      <c r="C93" s="126"/>
      <c r="D93" s="125"/>
      <c r="F93" s="125"/>
    </row>
    <row r="94" spans="1:6" x14ac:dyDescent="0.2">
      <c r="A94" s="126"/>
      <c r="B94" s="126"/>
      <c r="C94" s="126"/>
      <c r="D94" s="125"/>
      <c r="F94" s="125"/>
    </row>
    <row r="95" spans="1:6" x14ac:dyDescent="0.2">
      <c r="A95" s="126"/>
      <c r="B95" s="126"/>
      <c r="C95" s="126"/>
      <c r="D95" s="125"/>
      <c r="F95" s="125"/>
    </row>
    <row r="96" spans="1:6" x14ac:dyDescent="0.2">
      <c r="A96" s="126"/>
      <c r="B96" s="126"/>
      <c r="C96" s="126"/>
      <c r="D96" s="125"/>
      <c r="F96" s="125"/>
    </row>
    <row r="97" spans="1:6" x14ac:dyDescent="0.2">
      <c r="A97" s="126"/>
      <c r="B97" s="126"/>
      <c r="C97" s="126"/>
      <c r="D97" s="125"/>
      <c r="F97" s="125"/>
    </row>
    <row r="98" spans="1:6" x14ac:dyDescent="0.2">
      <c r="A98" s="126"/>
      <c r="B98" s="126"/>
      <c r="C98" s="126"/>
      <c r="D98" s="125"/>
      <c r="F98" s="125"/>
    </row>
    <row r="99" spans="1:6" x14ac:dyDescent="0.2">
      <c r="A99" s="126"/>
      <c r="B99" s="126"/>
      <c r="C99" s="126"/>
      <c r="D99" s="125"/>
      <c r="F99" s="125"/>
    </row>
    <row r="100" spans="1:6" x14ac:dyDescent="0.2">
      <c r="A100" s="126"/>
      <c r="B100" s="126"/>
      <c r="C100" s="126"/>
      <c r="D100" s="125"/>
      <c r="F100" s="125"/>
    </row>
    <row r="101" spans="1:6" x14ac:dyDescent="0.2">
      <c r="A101" s="126"/>
      <c r="B101" s="126"/>
      <c r="C101" s="126"/>
      <c r="D101" s="125"/>
      <c r="F101" s="125"/>
    </row>
    <row r="102" spans="1:6" x14ac:dyDescent="0.2">
      <c r="A102" s="126"/>
      <c r="B102" s="126"/>
      <c r="C102" s="126"/>
      <c r="D102" s="125"/>
      <c r="F102" s="125"/>
    </row>
    <row r="103" spans="1:6" x14ac:dyDescent="0.2">
      <c r="A103" s="126"/>
      <c r="B103" s="126"/>
      <c r="C103" s="126"/>
      <c r="D103" s="125"/>
      <c r="F103" s="125"/>
    </row>
    <row r="104" spans="1:6" x14ac:dyDescent="0.2">
      <c r="A104" s="126"/>
      <c r="B104" s="126"/>
      <c r="C104" s="126"/>
      <c r="D104" s="125"/>
      <c r="F104" s="125"/>
    </row>
    <row r="105" spans="1:6" x14ac:dyDescent="0.2">
      <c r="A105" s="126"/>
      <c r="B105" s="126"/>
      <c r="C105" s="126"/>
      <c r="D105" s="125"/>
      <c r="F105" s="125"/>
    </row>
    <row r="106" spans="1:6" x14ac:dyDescent="0.2">
      <c r="A106" s="126"/>
      <c r="B106" s="126"/>
      <c r="C106" s="126"/>
      <c r="D106" s="125"/>
      <c r="F106" s="125"/>
    </row>
    <row r="107" spans="1:6" x14ac:dyDescent="0.2">
      <c r="A107" s="126"/>
      <c r="B107" s="126"/>
      <c r="C107" s="126"/>
      <c r="D107" s="125"/>
      <c r="F107" s="125"/>
    </row>
    <row r="108" spans="1:6" x14ac:dyDescent="0.2">
      <c r="A108" s="126"/>
      <c r="B108" s="126"/>
      <c r="C108" s="126"/>
      <c r="D108" s="125"/>
      <c r="F108" s="125"/>
    </row>
    <row r="109" spans="1:6" x14ac:dyDescent="0.2">
      <c r="A109" s="126"/>
      <c r="B109" s="126"/>
      <c r="C109" s="126"/>
      <c r="D109" s="125"/>
      <c r="F109" s="125"/>
    </row>
    <row r="110" spans="1:6" x14ac:dyDescent="0.2">
      <c r="A110" s="126"/>
      <c r="B110" s="126"/>
      <c r="C110" s="126"/>
      <c r="D110" s="125"/>
      <c r="F110" s="125"/>
    </row>
    <row r="111" spans="1:6" x14ac:dyDescent="0.2">
      <c r="A111" s="126"/>
      <c r="B111" s="126"/>
      <c r="C111" s="126"/>
      <c r="D111" s="125"/>
      <c r="F111" s="125"/>
    </row>
    <row r="112" spans="1:6" x14ac:dyDescent="0.2">
      <c r="A112" s="126"/>
      <c r="B112" s="126"/>
      <c r="C112" s="126"/>
      <c r="D112" s="125"/>
      <c r="F112" s="125"/>
    </row>
    <row r="113" spans="1:6" x14ac:dyDescent="0.2">
      <c r="A113" s="126"/>
      <c r="B113" s="126"/>
      <c r="C113" s="126"/>
      <c r="D113" s="125"/>
      <c r="F113" s="125"/>
    </row>
    <row r="114" spans="1:6" x14ac:dyDescent="0.2">
      <c r="A114" s="126"/>
      <c r="B114" s="126"/>
      <c r="C114" s="126"/>
      <c r="D114" s="125"/>
      <c r="F114" s="125"/>
    </row>
    <row r="115" spans="1:6" x14ac:dyDescent="0.2">
      <c r="A115" s="126"/>
      <c r="B115" s="126"/>
      <c r="C115" s="126"/>
      <c r="D115" s="125"/>
      <c r="F115" s="125"/>
    </row>
    <row r="116" spans="1:6" x14ac:dyDescent="0.2">
      <c r="A116" s="126"/>
      <c r="B116" s="126"/>
      <c r="C116" s="126"/>
      <c r="D116" s="125"/>
      <c r="F116" s="125"/>
    </row>
    <row r="117" spans="1:6" x14ac:dyDescent="0.2">
      <c r="A117" s="126"/>
      <c r="B117" s="126"/>
      <c r="C117" s="126"/>
      <c r="D117" s="125"/>
      <c r="F117" s="125"/>
    </row>
    <row r="118" spans="1:6" x14ac:dyDescent="0.2">
      <c r="A118" s="126"/>
      <c r="B118" s="126"/>
      <c r="C118" s="126"/>
      <c r="D118" s="125"/>
      <c r="F118" s="125"/>
    </row>
    <row r="119" spans="1:6" x14ac:dyDescent="0.2">
      <c r="A119" s="126"/>
      <c r="B119" s="126"/>
      <c r="C119" s="126"/>
      <c r="D119" s="125"/>
      <c r="F119" s="125"/>
    </row>
    <row r="120" spans="1:6" x14ac:dyDescent="0.2">
      <c r="A120" s="126"/>
      <c r="B120" s="126"/>
      <c r="C120" s="126"/>
      <c r="D120" s="125"/>
      <c r="F120" s="125"/>
    </row>
    <row r="121" spans="1:6" x14ac:dyDescent="0.2">
      <c r="A121" s="126"/>
      <c r="B121" s="126"/>
      <c r="C121" s="126"/>
      <c r="D121" s="125"/>
      <c r="F121" s="125"/>
    </row>
    <row r="122" spans="1:6" x14ac:dyDescent="0.2">
      <c r="A122" s="126"/>
      <c r="B122" s="126"/>
      <c r="C122" s="126"/>
      <c r="D122" s="125"/>
      <c r="F122" s="125"/>
    </row>
    <row r="123" spans="1:6" x14ac:dyDescent="0.2">
      <c r="A123" s="126"/>
      <c r="B123" s="126"/>
      <c r="C123" s="126"/>
      <c r="D123" s="125"/>
      <c r="F123" s="125"/>
    </row>
    <row r="124" spans="1:6" x14ac:dyDescent="0.2">
      <c r="A124" s="126"/>
      <c r="B124" s="126"/>
      <c r="C124" s="126"/>
      <c r="D124" s="125"/>
      <c r="F124" s="125"/>
    </row>
    <row r="125" spans="1:6" x14ac:dyDescent="0.2">
      <c r="A125" s="126"/>
      <c r="B125" s="126"/>
      <c r="C125" s="126"/>
      <c r="D125" s="125"/>
      <c r="F125" s="125"/>
    </row>
    <row r="126" spans="1:6" x14ac:dyDescent="0.2">
      <c r="A126" s="126"/>
      <c r="B126" s="126"/>
      <c r="C126" s="126"/>
      <c r="D126" s="125"/>
      <c r="F126" s="125"/>
    </row>
    <row r="127" spans="1:6" x14ac:dyDescent="0.2">
      <c r="A127" s="126"/>
      <c r="B127" s="126"/>
      <c r="C127" s="126"/>
      <c r="D127" s="125"/>
      <c r="F127" s="125"/>
    </row>
    <row r="128" spans="1:6" x14ac:dyDescent="0.2">
      <c r="A128" s="126"/>
      <c r="B128" s="126"/>
      <c r="C128" s="126"/>
      <c r="D128" s="125"/>
      <c r="F128" s="125"/>
    </row>
    <row r="129" spans="1:6" x14ac:dyDescent="0.2">
      <c r="A129" s="126"/>
      <c r="B129" s="126"/>
      <c r="C129" s="126"/>
      <c r="D129" s="125"/>
      <c r="F129" s="125"/>
    </row>
    <row r="130" spans="1:6" x14ac:dyDescent="0.2">
      <c r="A130" s="126"/>
      <c r="B130" s="126"/>
      <c r="C130" s="126"/>
      <c r="D130" s="125"/>
      <c r="F130" s="125"/>
    </row>
    <row r="131" spans="1:6" x14ac:dyDescent="0.2">
      <c r="A131" s="126"/>
      <c r="B131" s="126"/>
      <c r="C131" s="126"/>
      <c r="D131" s="125"/>
    </row>
    <row r="132" spans="1:6" x14ac:dyDescent="0.2">
      <c r="A132" s="126"/>
      <c r="B132" s="126"/>
      <c r="C132" s="126"/>
      <c r="D132" s="125"/>
      <c r="F132" s="125"/>
    </row>
    <row r="133" spans="1:6" x14ac:dyDescent="0.2">
      <c r="A133" s="126"/>
      <c r="B133" s="126"/>
      <c r="C133" s="126"/>
      <c r="D133" s="125"/>
      <c r="F133" s="125"/>
    </row>
    <row r="134" spans="1:6" x14ac:dyDescent="0.2">
      <c r="A134" s="126"/>
      <c r="B134" s="126"/>
      <c r="C134" s="126"/>
      <c r="D134" s="125"/>
      <c r="F134" s="125"/>
    </row>
    <row r="135" spans="1:6" x14ac:dyDescent="0.2">
      <c r="A135" s="126"/>
      <c r="B135" s="126"/>
      <c r="C135" s="126"/>
      <c r="D135" s="125"/>
      <c r="F135" s="125"/>
    </row>
    <row r="136" spans="1:6" x14ac:dyDescent="0.2">
      <c r="A136" s="126"/>
      <c r="B136" s="126"/>
      <c r="C136" s="126"/>
      <c r="D136" s="125"/>
      <c r="F136" s="125"/>
    </row>
    <row r="137" spans="1:6" x14ac:dyDescent="0.2">
      <c r="A137" s="126"/>
      <c r="B137" s="126"/>
      <c r="C137" s="126"/>
      <c r="D137" s="125"/>
      <c r="F137" s="125"/>
    </row>
    <row r="138" spans="1:6" x14ac:dyDescent="0.2">
      <c r="A138" s="126"/>
      <c r="B138" s="126"/>
      <c r="C138" s="126"/>
      <c r="D138" s="125"/>
      <c r="F138" s="125"/>
    </row>
    <row r="139" spans="1:6" x14ac:dyDescent="0.2">
      <c r="A139" s="126"/>
      <c r="B139" s="126"/>
      <c r="C139" s="126"/>
      <c r="D139" s="125"/>
      <c r="F139" s="125"/>
    </row>
    <row r="140" spans="1:6" x14ac:dyDescent="0.2">
      <c r="A140" s="126"/>
      <c r="B140" s="126"/>
      <c r="C140" s="126"/>
      <c r="D140" s="125"/>
      <c r="F140" s="125"/>
    </row>
    <row r="141" spans="1:6" x14ac:dyDescent="0.2">
      <c r="A141" s="126"/>
      <c r="B141" s="126"/>
      <c r="C141" s="126"/>
      <c r="D141" s="125"/>
      <c r="F141" s="125"/>
    </row>
    <row r="142" spans="1:6" x14ac:dyDescent="0.2">
      <c r="A142" s="126"/>
      <c r="B142" s="126"/>
      <c r="C142" s="126"/>
      <c r="D142" s="125"/>
      <c r="F142" s="125"/>
    </row>
    <row r="143" spans="1:6" x14ac:dyDescent="0.2">
      <c r="A143" s="126"/>
      <c r="B143" s="126"/>
      <c r="C143" s="126"/>
      <c r="D143" s="125"/>
      <c r="F143" s="125"/>
    </row>
    <row r="144" spans="1:6" x14ac:dyDescent="0.2">
      <c r="A144" s="126"/>
      <c r="B144" s="126"/>
      <c r="C144" s="126"/>
      <c r="D144" s="125"/>
      <c r="F144" s="125"/>
    </row>
    <row r="145" spans="1:6" x14ac:dyDescent="0.2">
      <c r="A145" s="126"/>
      <c r="B145" s="126"/>
      <c r="C145" s="126"/>
      <c r="D145" s="125"/>
      <c r="F145" s="125"/>
    </row>
    <row r="146" spans="1:6" x14ac:dyDescent="0.2">
      <c r="A146" s="126"/>
      <c r="B146" s="126"/>
      <c r="C146" s="126"/>
      <c r="D146" s="125"/>
      <c r="F146" s="125"/>
    </row>
    <row r="147" spans="1:6" x14ac:dyDescent="0.2">
      <c r="A147" s="126"/>
      <c r="B147" s="126"/>
      <c r="C147" s="126"/>
      <c r="D147" s="125"/>
      <c r="F147" s="125"/>
    </row>
    <row r="148" spans="1:6" x14ac:dyDescent="0.2">
      <c r="A148" s="126"/>
      <c r="B148" s="126"/>
      <c r="C148" s="126"/>
      <c r="D148" s="125"/>
      <c r="F148" s="125"/>
    </row>
    <row r="149" spans="1:6" x14ac:dyDescent="0.2">
      <c r="A149" s="126"/>
      <c r="B149" s="126"/>
      <c r="C149" s="126"/>
      <c r="D149" s="125"/>
      <c r="F149" s="125"/>
    </row>
    <row r="150" spans="1:6" x14ac:dyDescent="0.2">
      <c r="A150" s="126"/>
      <c r="B150" s="126"/>
      <c r="C150" s="126"/>
      <c r="D150" s="125"/>
      <c r="F150" s="125"/>
    </row>
    <row r="151" spans="1:6" x14ac:dyDescent="0.2">
      <c r="A151" s="126"/>
      <c r="B151" s="126"/>
      <c r="C151" s="126"/>
      <c r="D151" s="125"/>
      <c r="F151" s="125"/>
    </row>
    <row r="152" spans="1:6" x14ac:dyDescent="0.2">
      <c r="A152" s="126"/>
      <c r="B152" s="126"/>
      <c r="C152" s="126"/>
      <c r="D152" s="125"/>
      <c r="F152" s="125"/>
    </row>
    <row r="153" spans="1:6" x14ac:dyDescent="0.2">
      <c r="A153" s="126"/>
      <c r="B153" s="126"/>
      <c r="C153" s="126"/>
      <c r="D153" s="125"/>
      <c r="F153" s="125"/>
    </row>
    <row r="154" spans="1:6" x14ac:dyDescent="0.2">
      <c r="A154" s="126"/>
      <c r="B154" s="126"/>
      <c r="C154" s="126"/>
      <c r="D154" s="125"/>
      <c r="F154" s="125"/>
    </row>
    <row r="155" spans="1:6" x14ac:dyDescent="0.2">
      <c r="A155" s="126"/>
      <c r="B155" s="126"/>
      <c r="C155" s="126"/>
      <c r="D155" s="125"/>
      <c r="F155" s="125"/>
    </row>
    <row r="156" spans="1:6" x14ac:dyDescent="0.2">
      <c r="A156" s="126"/>
      <c r="B156" s="126"/>
      <c r="C156" s="126"/>
      <c r="D156" s="125"/>
      <c r="F156" s="125"/>
    </row>
    <row r="157" spans="1:6" x14ac:dyDescent="0.2">
      <c r="A157" s="126"/>
      <c r="B157" s="126"/>
      <c r="C157" s="126"/>
      <c r="D157" s="125"/>
      <c r="F157" s="125"/>
    </row>
    <row r="158" spans="1:6" x14ac:dyDescent="0.2">
      <c r="A158" s="126"/>
      <c r="B158" s="126"/>
      <c r="C158" s="126"/>
      <c r="D158" s="125"/>
    </row>
    <row r="159" spans="1:6" x14ac:dyDescent="0.2">
      <c r="A159" s="126"/>
      <c r="B159" s="126"/>
      <c r="C159" s="126"/>
      <c r="D159" s="125"/>
      <c r="F159" s="125"/>
    </row>
    <row r="160" spans="1:6" x14ac:dyDescent="0.2">
      <c r="A160" s="126"/>
      <c r="B160" s="126"/>
      <c r="C160" s="126"/>
      <c r="D160" s="125"/>
      <c r="F160" s="125"/>
    </row>
    <row r="161" spans="1:6" x14ac:dyDescent="0.2">
      <c r="A161" s="126"/>
      <c r="B161" s="126"/>
      <c r="C161" s="126"/>
      <c r="D161" s="125"/>
      <c r="F161" s="125"/>
    </row>
    <row r="162" spans="1:6" x14ac:dyDescent="0.2">
      <c r="A162" s="126"/>
      <c r="B162" s="126"/>
      <c r="C162" s="126"/>
      <c r="D162" s="125"/>
      <c r="F162" s="125"/>
    </row>
    <row r="163" spans="1:6" x14ac:dyDescent="0.2">
      <c r="A163" s="126"/>
      <c r="B163" s="126"/>
      <c r="C163" s="126"/>
      <c r="D163" s="125"/>
      <c r="F163" s="125"/>
    </row>
    <row r="164" spans="1:6" x14ac:dyDescent="0.2">
      <c r="A164" s="126"/>
      <c r="B164" s="126"/>
      <c r="C164" s="126"/>
      <c r="D164" s="125"/>
      <c r="F164" s="125"/>
    </row>
    <row r="165" spans="1:6" x14ac:dyDescent="0.2">
      <c r="A165" s="126"/>
      <c r="B165" s="126"/>
      <c r="C165" s="126"/>
      <c r="D165" s="125"/>
      <c r="F165" s="125"/>
    </row>
    <row r="166" spans="1:6" x14ac:dyDescent="0.2">
      <c r="A166" s="126"/>
      <c r="B166" s="126"/>
      <c r="C166" s="126"/>
      <c r="D166" s="125"/>
      <c r="F166" s="125"/>
    </row>
    <row r="167" spans="1:6" x14ac:dyDescent="0.2">
      <c r="A167" s="126"/>
      <c r="B167" s="126"/>
      <c r="C167" s="126"/>
      <c r="D167" s="125"/>
      <c r="F167" s="125"/>
    </row>
    <row r="168" spans="1:6" x14ac:dyDescent="0.2">
      <c r="A168" s="126"/>
      <c r="B168" s="126"/>
      <c r="C168" s="126"/>
      <c r="D168" s="125"/>
    </row>
    <row r="169" spans="1:6" x14ac:dyDescent="0.2">
      <c r="A169" s="126"/>
      <c r="B169" s="126"/>
      <c r="C169" s="126"/>
      <c r="D169" s="125"/>
      <c r="F169" s="125"/>
    </row>
    <row r="170" spans="1:6" x14ac:dyDescent="0.2">
      <c r="A170" s="126"/>
      <c r="B170" s="126"/>
      <c r="C170" s="126"/>
      <c r="D170" s="125"/>
      <c r="F170" s="125"/>
    </row>
    <row r="171" spans="1:6" x14ac:dyDescent="0.2">
      <c r="A171" s="126"/>
      <c r="B171" s="126"/>
      <c r="C171" s="126"/>
      <c r="D171" s="125"/>
      <c r="F171" s="125"/>
    </row>
    <row r="172" spans="1:6" x14ac:dyDescent="0.2">
      <c r="A172" s="126"/>
      <c r="B172" s="126"/>
      <c r="C172" s="126"/>
      <c r="D172" s="125"/>
      <c r="F172" s="125"/>
    </row>
    <row r="173" spans="1:6" x14ac:dyDescent="0.2">
      <c r="A173" s="126"/>
      <c r="B173" s="126"/>
      <c r="C173" s="126"/>
      <c r="D173" s="125"/>
      <c r="F173" s="125"/>
    </row>
    <row r="174" spans="1:6" x14ac:dyDescent="0.2">
      <c r="A174" s="126"/>
      <c r="B174" s="126"/>
      <c r="C174" s="126"/>
      <c r="D174" s="125"/>
      <c r="F174" s="125"/>
    </row>
    <row r="175" spans="1:6" x14ac:dyDescent="0.2">
      <c r="A175" s="126"/>
      <c r="B175" s="126"/>
      <c r="C175" s="126"/>
      <c r="D175" s="125"/>
      <c r="F175" s="125"/>
    </row>
    <row r="176" spans="1:6" x14ac:dyDescent="0.2">
      <c r="A176" s="126"/>
      <c r="B176" s="126"/>
      <c r="C176" s="126"/>
      <c r="D176" s="125"/>
      <c r="F176" s="125"/>
    </row>
    <row r="177" spans="1:6" x14ac:dyDescent="0.2">
      <c r="A177" s="126"/>
      <c r="B177" s="126"/>
      <c r="C177" s="126"/>
      <c r="D177" s="125"/>
      <c r="F177" s="125"/>
    </row>
    <row r="178" spans="1:6" x14ac:dyDescent="0.2">
      <c r="A178" s="126"/>
      <c r="B178" s="126"/>
      <c r="C178" s="126"/>
      <c r="D178" s="125"/>
      <c r="F178" s="125"/>
    </row>
    <row r="179" spans="1:6" x14ac:dyDescent="0.2">
      <c r="A179" s="126"/>
      <c r="B179" s="126"/>
      <c r="C179" s="126"/>
      <c r="D179" s="125"/>
      <c r="F179" s="125"/>
    </row>
    <row r="180" spans="1:6" x14ac:dyDescent="0.2">
      <c r="A180" s="126"/>
      <c r="B180" s="126"/>
      <c r="C180" s="126"/>
      <c r="D180" s="125"/>
      <c r="F180" s="125"/>
    </row>
    <row r="181" spans="1:6" x14ac:dyDescent="0.2">
      <c r="A181" s="126"/>
      <c r="B181" s="126"/>
      <c r="C181" s="126"/>
      <c r="D181" s="125"/>
      <c r="F181" s="125"/>
    </row>
    <row r="182" spans="1:6" x14ac:dyDescent="0.2">
      <c r="A182" s="126"/>
      <c r="B182" s="126"/>
      <c r="C182" s="126"/>
      <c r="D182" s="125"/>
      <c r="F182" s="125"/>
    </row>
    <row r="183" spans="1:6" x14ac:dyDescent="0.2">
      <c r="A183" s="126"/>
      <c r="B183" s="126"/>
      <c r="C183" s="126"/>
      <c r="D183" s="125"/>
      <c r="F183" s="125"/>
    </row>
    <row r="184" spans="1:6" x14ac:dyDescent="0.2">
      <c r="A184" s="126"/>
      <c r="B184" s="126"/>
      <c r="C184" s="126"/>
      <c r="D184" s="125"/>
      <c r="F184" s="125"/>
    </row>
    <row r="185" spans="1:6" x14ac:dyDescent="0.2">
      <c r="A185" s="126"/>
      <c r="B185" s="126"/>
      <c r="C185" s="126"/>
      <c r="D185" s="125"/>
      <c r="F185" s="125"/>
    </row>
    <row r="186" spans="1:6" x14ac:dyDescent="0.2">
      <c r="A186" s="126"/>
      <c r="B186" s="126"/>
      <c r="C186" s="126"/>
      <c r="D186" s="125"/>
      <c r="F186" s="125"/>
    </row>
    <row r="187" spans="1:6" x14ac:dyDescent="0.2">
      <c r="A187" s="126"/>
      <c r="B187" s="126"/>
      <c r="C187" s="126"/>
      <c r="D187" s="125"/>
      <c r="F187" s="125"/>
    </row>
    <row r="188" spans="1:6" x14ac:dyDescent="0.2">
      <c r="A188" s="126"/>
      <c r="B188" s="126"/>
      <c r="C188" s="126"/>
      <c r="D188" s="125"/>
      <c r="F188" s="125"/>
    </row>
    <row r="189" spans="1:6" x14ac:dyDescent="0.2">
      <c r="A189" s="126"/>
      <c r="B189" s="126"/>
      <c r="C189" s="126"/>
      <c r="D189" s="125"/>
      <c r="F189" s="125"/>
    </row>
    <row r="190" spans="1:6" x14ac:dyDescent="0.2">
      <c r="A190" s="126"/>
      <c r="B190" s="126"/>
      <c r="C190" s="126"/>
      <c r="D190" s="125"/>
      <c r="F190" s="125"/>
    </row>
    <row r="191" spans="1:6" x14ac:dyDescent="0.2">
      <c r="A191" s="126"/>
      <c r="B191" s="126"/>
      <c r="C191" s="126"/>
      <c r="D191" s="125"/>
      <c r="F191" s="125"/>
    </row>
    <row r="192" spans="1:6" x14ac:dyDescent="0.2">
      <c r="A192" s="126"/>
      <c r="B192" s="126"/>
      <c r="C192" s="126"/>
      <c r="D192" s="125"/>
      <c r="F192" s="125"/>
    </row>
    <row r="193" spans="1:6" x14ac:dyDescent="0.2">
      <c r="A193" s="126"/>
      <c r="B193" s="126"/>
      <c r="C193" s="126"/>
      <c r="D193" s="125"/>
      <c r="F193" s="125"/>
    </row>
    <row r="194" spans="1:6" x14ac:dyDescent="0.2">
      <c r="A194" s="126"/>
      <c r="B194" s="126"/>
      <c r="C194" s="126"/>
      <c r="D194" s="125"/>
      <c r="F194" s="125"/>
    </row>
    <row r="195" spans="1:6" x14ac:dyDescent="0.2">
      <c r="A195" s="126"/>
      <c r="B195" s="126"/>
      <c r="C195" s="126"/>
      <c r="D195" s="125"/>
      <c r="F195" s="125"/>
    </row>
    <row r="196" spans="1:6" x14ac:dyDescent="0.2">
      <c r="A196" s="126"/>
      <c r="B196" s="126"/>
      <c r="C196" s="126"/>
      <c r="D196" s="125"/>
      <c r="F196" s="125"/>
    </row>
    <row r="197" spans="1:6" x14ac:dyDescent="0.2">
      <c r="A197" s="126"/>
      <c r="B197" s="126"/>
      <c r="C197" s="126"/>
      <c r="D197" s="125"/>
      <c r="F197" s="125"/>
    </row>
    <row r="198" spans="1:6" x14ac:dyDescent="0.2">
      <c r="A198" s="126"/>
      <c r="B198" s="126"/>
      <c r="C198" s="126"/>
      <c r="D198" s="125"/>
      <c r="F198" s="125"/>
    </row>
    <row r="199" spans="1:6" x14ac:dyDescent="0.2">
      <c r="A199" s="126"/>
      <c r="B199" s="126"/>
      <c r="C199" s="126"/>
      <c r="D199" s="125"/>
      <c r="F199" s="125"/>
    </row>
    <row r="200" spans="1:6" x14ac:dyDescent="0.2">
      <c r="A200" s="126"/>
      <c r="B200" s="126"/>
      <c r="C200" s="126"/>
      <c r="D200" s="125"/>
      <c r="F200" s="125"/>
    </row>
    <row r="201" spans="1:6" x14ac:dyDescent="0.2">
      <c r="A201" s="126"/>
      <c r="B201" s="126"/>
      <c r="C201" s="126"/>
      <c r="D201" s="125"/>
      <c r="F201" s="125"/>
    </row>
    <row r="202" spans="1:6" x14ac:dyDescent="0.2">
      <c r="A202" s="126"/>
      <c r="B202" s="126"/>
      <c r="C202" s="126"/>
      <c r="D202" s="125"/>
      <c r="F202" s="125"/>
    </row>
    <row r="203" spans="1:6" x14ac:dyDescent="0.2">
      <c r="A203" s="126"/>
      <c r="B203" s="126"/>
      <c r="C203" s="126"/>
      <c r="D203" s="125"/>
      <c r="F203" s="125"/>
    </row>
    <row r="204" spans="1:6" x14ac:dyDescent="0.2">
      <c r="A204" s="126"/>
      <c r="B204" s="126"/>
      <c r="C204" s="126"/>
      <c r="D204" s="125"/>
      <c r="F204" s="125"/>
    </row>
    <row r="205" spans="1:6" x14ac:dyDescent="0.2">
      <c r="A205" s="126"/>
      <c r="B205" s="126"/>
      <c r="C205" s="126"/>
      <c r="D205" s="125"/>
      <c r="F205" s="125"/>
    </row>
    <row r="206" spans="1:6" x14ac:dyDescent="0.2">
      <c r="A206" s="126"/>
      <c r="B206" s="126"/>
      <c r="C206" s="126"/>
      <c r="D206" s="125"/>
      <c r="F206" s="125"/>
    </row>
    <row r="207" spans="1:6" x14ac:dyDescent="0.2">
      <c r="A207" s="126"/>
      <c r="B207" s="126"/>
      <c r="C207" s="126"/>
      <c r="D207" s="125"/>
      <c r="F207" s="125"/>
    </row>
    <row r="208" spans="1:6" x14ac:dyDescent="0.2">
      <c r="A208" s="126"/>
      <c r="B208" s="126"/>
      <c r="C208" s="126"/>
      <c r="D208" s="125"/>
      <c r="F208" s="125"/>
    </row>
    <row r="209" spans="1:6" x14ac:dyDescent="0.2">
      <c r="A209" s="126"/>
      <c r="B209" s="126"/>
      <c r="C209" s="126"/>
      <c r="D209" s="125"/>
      <c r="F209" s="125"/>
    </row>
    <row r="210" spans="1:6" x14ac:dyDescent="0.2">
      <c r="A210" s="126"/>
      <c r="B210" s="126"/>
      <c r="C210" s="126"/>
      <c r="D210" s="125"/>
      <c r="F210" s="125"/>
    </row>
    <row r="211" spans="1:6" x14ac:dyDescent="0.2">
      <c r="A211" s="126"/>
      <c r="B211" s="126"/>
      <c r="C211" s="126"/>
      <c r="D211" s="125"/>
      <c r="F211" s="125"/>
    </row>
    <row r="212" spans="1:6" x14ac:dyDescent="0.2">
      <c r="A212" s="126"/>
      <c r="B212" s="126"/>
      <c r="C212" s="126"/>
      <c r="D212" s="125"/>
      <c r="F212" s="125"/>
    </row>
    <row r="213" spans="1:6" x14ac:dyDescent="0.2">
      <c r="A213" s="127"/>
      <c r="B213" s="126"/>
      <c r="C213" s="126"/>
      <c r="F213" s="125"/>
    </row>
    <row r="214" spans="1:6" x14ac:dyDescent="0.2">
      <c r="A214" s="127"/>
      <c r="B214" s="126"/>
      <c r="C214" s="126"/>
      <c r="F214" s="125"/>
    </row>
    <row r="215" spans="1:6" x14ac:dyDescent="0.2">
      <c r="A215" s="127"/>
      <c r="B215" s="126"/>
      <c r="C215" s="126"/>
    </row>
    <row r="216" spans="1:6" x14ac:dyDescent="0.2">
      <c r="A216" s="127"/>
      <c r="B216" s="126"/>
      <c r="C216" s="126"/>
    </row>
    <row r="217" spans="1:6" x14ac:dyDescent="0.2">
      <c r="A217" s="127"/>
      <c r="B217" s="126"/>
      <c r="C217" s="126"/>
    </row>
    <row r="218" spans="1:6" x14ac:dyDescent="0.2">
      <c r="A218" s="127"/>
      <c r="B218" s="126"/>
      <c r="C218" s="126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29"/>
  <sheetViews>
    <sheetView zoomScale="110" zoomScaleNormal="110" workbookViewId="0">
      <selection activeCell="A11" sqref="A11"/>
    </sheetView>
  </sheetViews>
  <sheetFormatPr defaultRowHeight="12.75" x14ac:dyDescent="0.2"/>
  <cols>
    <col min="1" max="1" width="10.5703125" customWidth="1"/>
    <col min="2" max="5" width="8.7109375" customWidth="1"/>
    <col min="6" max="11" width="10.5703125" customWidth="1"/>
  </cols>
  <sheetData>
    <row r="1" spans="1:8" ht="14.25" x14ac:dyDescent="0.2">
      <c r="A1" s="143" t="s">
        <v>172</v>
      </c>
      <c r="B1" s="146"/>
      <c r="C1" s="146"/>
      <c r="D1" s="164"/>
      <c r="E1" s="164"/>
      <c r="F1" s="144"/>
      <c r="H1" s="13"/>
    </row>
    <row r="2" spans="1:8" x14ac:dyDescent="0.2">
      <c r="A2" t="s">
        <v>173</v>
      </c>
      <c r="B2" s="164" t="s">
        <v>1</v>
      </c>
      <c r="C2" s="164" t="s">
        <v>174</v>
      </c>
      <c r="D2" s="164"/>
      <c r="E2" s="164"/>
      <c r="F2" s="144"/>
      <c r="H2" s="13"/>
    </row>
    <row r="3" spans="1:8" x14ac:dyDescent="0.2">
      <c r="B3" s="146" t="s">
        <v>165</v>
      </c>
      <c r="D3" s="134"/>
      <c r="E3" s="134"/>
      <c r="F3" s="144"/>
      <c r="H3" s="13"/>
    </row>
    <row r="4" spans="1:8" x14ac:dyDescent="0.2">
      <c r="A4" s="165" t="s">
        <v>97</v>
      </c>
      <c r="B4" s="134">
        <v>9.4770000000000003</v>
      </c>
      <c r="C4" s="134">
        <v>11.715999999999999</v>
      </c>
      <c r="D4" s="134"/>
      <c r="E4" s="134"/>
      <c r="F4" s="144"/>
    </row>
    <row r="5" spans="1:8" x14ac:dyDescent="0.2">
      <c r="A5" s="165" t="s">
        <v>100</v>
      </c>
      <c r="B5" s="134">
        <v>8.7110000000000003</v>
      </c>
      <c r="C5" s="134">
        <v>10.911</v>
      </c>
      <c r="D5" s="134"/>
      <c r="E5" s="134"/>
    </row>
    <row r="6" spans="1:8" x14ac:dyDescent="0.2">
      <c r="A6" s="165" t="s">
        <v>101</v>
      </c>
      <c r="B6" s="134">
        <v>6.9290000000000003</v>
      </c>
      <c r="C6" s="134">
        <v>11.605</v>
      </c>
      <c r="D6" s="134"/>
      <c r="E6" s="134"/>
    </row>
    <row r="7" spans="1:8" x14ac:dyDescent="0.2">
      <c r="A7" s="165" t="s">
        <v>117</v>
      </c>
      <c r="B7" s="134">
        <v>10.992000000000001</v>
      </c>
      <c r="C7" s="134">
        <v>11.183</v>
      </c>
      <c r="D7" s="134"/>
      <c r="E7" s="134"/>
    </row>
    <row r="8" spans="1:8" x14ac:dyDescent="0.2">
      <c r="A8" s="165" t="s">
        <v>119</v>
      </c>
      <c r="B8" s="134">
        <v>8.35</v>
      </c>
      <c r="C8" s="134">
        <v>10.4</v>
      </c>
      <c r="D8" s="134"/>
      <c r="E8" s="134"/>
    </row>
    <row r="9" spans="1:8" x14ac:dyDescent="0.2">
      <c r="A9" s="165" t="s">
        <v>163</v>
      </c>
      <c r="B9" s="134">
        <v>11.5</v>
      </c>
      <c r="C9" s="134">
        <v>11</v>
      </c>
      <c r="D9" s="134"/>
      <c r="E9" s="134"/>
    </row>
    <row r="10" spans="1:8" x14ac:dyDescent="0.2">
      <c r="A10" s="165" t="s">
        <v>171</v>
      </c>
      <c r="B10" s="134">
        <v>11</v>
      </c>
      <c r="C10" s="134">
        <v>11</v>
      </c>
      <c r="D10" s="134"/>
      <c r="E10" s="134"/>
    </row>
    <row r="11" spans="1:8" ht="14.25" x14ac:dyDescent="0.2">
      <c r="A11" s="143"/>
      <c r="B11" s="144"/>
      <c r="C11" s="133"/>
      <c r="D11" s="133"/>
    </row>
    <row r="12" spans="1:8" ht="14.25" x14ac:dyDescent="0.2">
      <c r="A12" s="143"/>
      <c r="B12" s="144"/>
      <c r="C12" s="133"/>
      <c r="D12" s="133"/>
    </row>
    <row r="13" spans="1:8" ht="14.25" x14ac:dyDescent="0.2">
      <c r="A13" s="143"/>
      <c r="B13" s="144"/>
      <c r="C13" s="133"/>
      <c r="D13" s="133"/>
    </row>
    <row r="14" spans="1:8" ht="14.25" x14ac:dyDescent="0.2">
      <c r="A14" s="143"/>
      <c r="B14" s="144"/>
      <c r="C14" s="133"/>
      <c r="D14" s="133"/>
    </row>
    <row r="15" spans="1:8" ht="14.25" x14ac:dyDescent="0.2">
      <c r="A15" s="143"/>
      <c r="B15" s="144"/>
      <c r="C15" s="133"/>
      <c r="D15" s="133"/>
    </row>
    <row r="16" spans="1:8" ht="14.25" x14ac:dyDescent="0.2">
      <c r="A16" s="143"/>
      <c r="B16" s="144"/>
      <c r="C16" s="133"/>
      <c r="D16" s="133"/>
    </row>
    <row r="17" spans="1:4" ht="14.25" x14ac:dyDescent="0.2">
      <c r="A17" s="143"/>
      <c r="B17" s="144"/>
      <c r="C17" s="133"/>
      <c r="D17" s="133"/>
    </row>
    <row r="18" spans="1:4" ht="14.25" x14ac:dyDescent="0.2">
      <c r="A18" s="143"/>
      <c r="B18" s="144"/>
      <c r="C18" s="133"/>
      <c r="D18" s="133"/>
    </row>
    <row r="19" spans="1:4" ht="14.25" x14ac:dyDescent="0.2">
      <c r="A19" s="143"/>
      <c r="B19" s="144"/>
      <c r="C19" s="133"/>
      <c r="D19" s="133"/>
    </row>
    <row r="20" spans="1:4" ht="14.25" x14ac:dyDescent="0.2">
      <c r="A20" s="143"/>
      <c r="B20" s="144"/>
      <c r="C20" s="133"/>
      <c r="D20" s="133"/>
    </row>
    <row r="21" spans="1:4" ht="14.25" x14ac:dyDescent="0.2">
      <c r="A21" s="143"/>
      <c r="B21" s="144"/>
      <c r="C21" s="133"/>
      <c r="D21" s="133"/>
    </row>
    <row r="22" spans="1:4" ht="14.25" x14ac:dyDescent="0.2">
      <c r="A22" s="143"/>
      <c r="B22" s="144"/>
      <c r="C22" s="133"/>
      <c r="D22" s="133"/>
    </row>
    <row r="23" spans="1:4" ht="14.25" x14ac:dyDescent="0.2">
      <c r="A23" s="143"/>
      <c r="B23" s="144"/>
      <c r="C23" s="133"/>
      <c r="D23" s="133"/>
    </row>
    <row r="24" spans="1:4" ht="14.25" x14ac:dyDescent="0.2">
      <c r="A24" s="143"/>
      <c r="B24" s="144"/>
      <c r="C24" s="133"/>
      <c r="D24" s="133"/>
    </row>
    <row r="25" spans="1:4" ht="14.25" x14ac:dyDescent="0.2">
      <c r="A25" s="143"/>
      <c r="B25" s="144"/>
      <c r="C25" s="133"/>
      <c r="D25" s="133"/>
    </row>
    <row r="26" spans="1:4" ht="14.25" x14ac:dyDescent="0.2">
      <c r="A26" s="143"/>
      <c r="B26" s="144"/>
      <c r="C26" s="133"/>
      <c r="D26" s="133"/>
    </row>
    <row r="27" spans="1:4" ht="14.25" x14ac:dyDescent="0.2">
      <c r="A27" s="143"/>
      <c r="B27" s="144"/>
      <c r="C27" s="133"/>
      <c r="D27" s="133"/>
    </row>
    <row r="28" spans="1:4" ht="14.25" x14ac:dyDescent="0.2">
      <c r="A28" s="143"/>
      <c r="B28" s="144"/>
      <c r="C28" s="133"/>
      <c r="D28" s="133"/>
    </row>
    <row r="29" spans="1:4" ht="14.25" x14ac:dyDescent="0.2">
      <c r="A29" s="143"/>
      <c r="B29" s="144"/>
      <c r="C29" s="133"/>
      <c r="D29" s="133"/>
    </row>
    <row r="30" spans="1:4" ht="14.25" x14ac:dyDescent="0.2">
      <c r="A30" s="143"/>
      <c r="B30" s="144"/>
      <c r="C30" s="133"/>
      <c r="D30" s="133"/>
    </row>
    <row r="31" spans="1:4" ht="14.25" x14ac:dyDescent="0.2">
      <c r="A31" s="143"/>
      <c r="B31" s="144"/>
      <c r="C31" s="133"/>
      <c r="D31" s="133"/>
    </row>
    <row r="32" spans="1:4" ht="14.25" x14ac:dyDescent="0.2">
      <c r="A32" s="143"/>
      <c r="B32" s="144"/>
      <c r="C32" s="133"/>
      <c r="D32" s="133"/>
    </row>
    <row r="33" spans="1:4" ht="14.25" x14ac:dyDescent="0.2">
      <c r="A33" s="143"/>
      <c r="B33" s="144"/>
      <c r="C33" s="133"/>
      <c r="D33" s="133"/>
    </row>
    <row r="34" spans="1:4" ht="14.25" x14ac:dyDescent="0.2">
      <c r="A34" s="143"/>
      <c r="B34" s="144"/>
      <c r="C34" s="133"/>
      <c r="D34" s="133"/>
    </row>
    <row r="35" spans="1:4" ht="14.25" x14ac:dyDescent="0.2">
      <c r="A35" s="143"/>
      <c r="B35" s="144"/>
      <c r="C35" s="133"/>
      <c r="D35" s="133"/>
    </row>
    <row r="36" spans="1:4" ht="14.25" x14ac:dyDescent="0.2">
      <c r="A36" s="143"/>
      <c r="B36" s="144"/>
      <c r="C36" s="133"/>
      <c r="D36" s="133"/>
    </row>
    <row r="37" spans="1:4" ht="14.25" x14ac:dyDescent="0.2">
      <c r="A37" s="143"/>
      <c r="B37" s="144"/>
      <c r="C37" s="133"/>
      <c r="D37" s="133"/>
    </row>
    <row r="38" spans="1:4" ht="14.25" x14ac:dyDescent="0.2">
      <c r="A38" s="143"/>
      <c r="B38" s="144"/>
      <c r="C38" s="133"/>
      <c r="D38" s="133"/>
    </row>
    <row r="39" spans="1:4" ht="14.25" x14ac:dyDescent="0.2">
      <c r="A39" s="143"/>
      <c r="B39" s="144"/>
      <c r="C39" s="133"/>
      <c r="D39" s="133"/>
    </row>
    <row r="40" spans="1:4" ht="14.25" x14ac:dyDescent="0.2">
      <c r="A40" s="143"/>
      <c r="B40" s="144"/>
      <c r="C40" s="133"/>
      <c r="D40" s="133"/>
    </row>
    <row r="41" spans="1:4" ht="14.25" x14ac:dyDescent="0.2">
      <c r="A41" s="143"/>
      <c r="B41" s="144"/>
      <c r="C41" s="133"/>
      <c r="D41" s="133"/>
    </row>
    <row r="42" spans="1:4" ht="14.25" x14ac:dyDescent="0.2">
      <c r="A42" s="143"/>
      <c r="B42" s="144"/>
      <c r="C42" s="133"/>
      <c r="D42" s="133"/>
    </row>
    <row r="43" spans="1:4" ht="14.25" x14ac:dyDescent="0.2">
      <c r="A43" s="143"/>
      <c r="B43" s="144"/>
      <c r="C43" s="133"/>
      <c r="D43" s="133"/>
    </row>
    <row r="44" spans="1:4" ht="14.25" x14ac:dyDescent="0.2">
      <c r="A44" s="143"/>
      <c r="B44" s="144"/>
      <c r="C44" s="133"/>
      <c r="D44" s="133"/>
    </row>
    <row r="45" spans="1:4" ht="14.25" x14ac:dyDescent="0.2">
      <c r="A45" s="143"/>
      <c r="B45" s="144"/>
      <c r="C45" s="133"/>
      <c r="D45" s="133"/>
    </row>
    <row r="46" spans="1:4" ht="14.25" x14ac:dyDescent="0.2">
      <c r="A46" s="143"/>
      <c r="B46" s="144"/>
      <c r="C46" s="133"/>
      <c r="D46" s="133"/>
    </row>
    <row r="47" spans="1:4" ht="14.25" x14ac:dyDescent="0.2">
      <c r="A47" s="143"/>
      <c r="B47" s="144"/>
      <c r="C47" s="133"/>
      <c r="D47" s="133"/>
    </row>
    <row r="48" spans="1:4" ht="14.25" x14ac:dyDescent="0.2">
      <c r="A48" s="143"/>
      <c r="B48" s="144"/>
      <c r="C48" s="133"/>
      <c r="D48" s="133"/>
    </row>
    <row r="49" spans="1:4" ht="14.25" x14ac:dyDescent="0.2">
      <c r="A49" s="143"/>
      <c r="B49" s="144"/>
      <c r="C49" s="133"/>
      <c r="D49" s="133"/>
    </row>
    <row r="50" spans="1:4" ht="14.25" x14ac:dyDescent="0.2">
      <c r="A50" s="143"/>
      <c r="B50" s="144"/>
      <c r="C50" s="133"/>
      <c r="D50" s="133"/>
    </row>
    <row r="51" spans="1:4" ht="14.25" x14ac:dyDescent="0.2">
      <c r="A51" s="143"/>
      <c r="B51" s="144"/>
      <c r="C51" s="133"/>
      <c r="D51" s="133"/>
    </row>
    <row r="52" spans="1:4" ht="14.25" x14ac:dyDescent="0.2">
      <c r="A52" s="143"/>
      <c r="B52" s="144"/>
      <c r="C52" s="133"/>
      <c r="D52" s="133"/>
    </row>
    <row r="53" spans="1:4" ht="14.25" x14ac:dyDescent="0.2">
      <c r="A53" s="143"/>
      <c r="B53" s="144"/>
      <c r="C53" s="133"/>
      <c r="D53" s="133"/>
    </row>
    <row r="54" spans="1:4" ht="14.25" x14ac:dyDescent="0.2">
      <c r="A54" s="143"/>
      <c r="B54" s="144"/>
      <c r="C54" s="133"/>
      <c r="D54" s="133"/>
    </row>
    <row r="55" spans="1:4" ht="14.25" x14ac:dyDescent="0.2">
      <c r="A55" s="143"/>
      <c r="B55" s="144"/>
      <c r="C55" s="133"/>
      <c r="D55" s="133"/>
    </row>
    <row r="56" spans="1:4" ht="14.25" x14ac:dyDescent="0.2">
      <c r="A56" s="143"/>
      <c r="B56" s="144"/>
      <c r="C56" s="133"/>
      <c r="D56" s="133"/>
    </row>
    <row r="57" spans="1:4" ht="14.25" x14ac:dyDescent="0.2">
      <c r="A57" s="143"/>
      <c r="B57" s="144"/>
      <c r="C57" s="133"/>
      <c r="D57" s="133"/>
    </row>
    <row r="58" spans="1:4" ht="14.25" x14ac:dyDescent="0.2">
      <c r="A58" s="143"/>
      <c r="B58" s="144"/>
      <c r="C58" s="133"/>
      <c r="D58" s="133"/>
    </row>
    <row r="59" spans="1:4" ht="14.25" x14ac:dyDescent="0.2">
      <c r="A59" s="143"/>
      <c r="B59" s="144"/>
      <c r="C59" s="133"/>
      <c r="D59" s="133"/>
    </row>
    <row r="60" spans="1:4" ht="14.25" x14ac:dyDescent="0.2">
      <c r="A60" s="143"/>
      <c r="B60" s="144"/>
      <c r="C60" s="133"/>
      <c r="D60" s="133"/>
    </row>
    <row r="61" spans="1:4" ht="14.25" x14ac:dyDescent="0.2">
      <c r="A61" s="143"/>
      <c r="B61" s="144"/>
      <c r="C61" s="133"/>
      <c r="D61" s="133"/>
    </row>
    <row r="62" spans="1:4" ht="14.25" x14ac:dyDescent="0.2">
      <c r="A62" s="143"/>
      <c r="B62" s="144"/>
      <c r="C62" s="133"/>
      <c r="D62" s="133"/>
    </row>
    <row r="63" spans="1:4" ht="14.25" x14ac:dyDescent="0.2">
      <c r="A63" s="143"/>
      <c r="B63" s="144"/>
      <c r="C63" s="133"/>
      <c r="D63" s="133"/>
    </row>
    <row r="64" spans="1:4" ht="14.25" x14ac:dyDescent="0.2">
      <c r="A64" s="143"/>
      <c r="B64" s="144"/>
      <c r="C64" s="133"/>
      <c r="D64" s="133"/>
    </row>
    <row r="65" spans="1:4" ht="14.25" x14ac:dyDescent="0.2">
      <c r="A65" s="143"/>
      <c r="B65" s="144"/>
      <c r="C65" s="133"/>
      <c r="D65" s="133"/>
    </row>
    <row r="66" spans="1:4" ht="14.25" x14ac:dyDescent="0.2">
      <c r="A66" s="143"/>
      <c r="B66" s="144"/>
      <c r="C66" s="133"/>
      <c r="D66" s="133"/>
    </row>
    <row r="67" spans="1:4" ht="14.25" x14ac:dyDescent="0.2">
      <c r="A67" s="143"/>
      <c r="B67" s="144"/>
      <c r="C67" s="133"/>
      <c r="D67" s="133"/>
    </row>
    <row r="68" spans="1:4" ht="14.25" x14ac:dyDescent="0.2">
      <c r="A68" s="143"/>
      <c r="B68" s="144"/>
      <c r="C68" s="133"/>
      <c r="D68" s="133"/>
    </row>
    <row r="69" spans="1:4" ht="14.25" x14ac:dyDescent="0.2">
      <c r="A69" s="143"/>
      <c r="B69" s="144"/>
      <c r="C69" s="133"/>
      <c r="D69" s="133"/>
    </row>
    <row r="70" spans="1:4" ht="14.25" x14ac:dyDescent="0.2">
      <c r="A70" s="143"/>
      <c r="B70" s="144"/>
      <c r="C70" s="133"/>
      <c r="D70" s="133"/>
    </row>
    <row r="71" spans="1:4" ht="14.25" x14ac:dyDescent="0.2">
      <c r="A71" s="143"/>
      <c r="B71" s="144"/>
      <c r="C71" s="133"/>
      <c r="D71" s="133"/>
    </row>
    <row r="72" spans="1:4" ht="14.25" x14ac:dyDescent="0.2">
      <c r="A72" s="143"/>
      <c r="B72" s="144"/>
      <c r="C72" s="133"/>
      <c r="D72" s="133"/>
    </row>
    <row r="73" spans="1:4" ht="14.25" x14ac:dyDescent="0.2">
      <c r="A73" s="143"/>
      <c r="B73" s="144"/>
      <c r="C73" s="133"/>
      <c r="D73" s="133"/>
    </row>
    <row r="74" spans="1:4" ht="14.25" x14ac:dyDescent="0.2">
      <c r="A74" s="143"/>
      <c r="B74" s="144"/>
      <c r="C74" s="133"/>
      <c r="D74" s="133"/>
    </row>
    <row r="75" spans="1:4" ht="14.25" x14ac:dyDescent="0.2">
      <c r="A75" s="143"/>
      <c r="B75" s="144"/>
      <c r="C75" s="133"/>
      <c r="D75" s="133"/>
    </row>
    <row r="76" spans="1:4" ht="14.25" x14ac:dyDescent="0.2">
      <c r="A76" s="143"/>
      <c r="B76" s="144"/>
      <c r="C76" s="133"/>
      <c r="D76" s="133"/>
    </row>
    <row r="77" spans="1:4" ht="14.25" x14ac:dyDescent="0.2">
      <c r="A77" s="143"/>
      <c r="B77" s="144"/>
      <c r="C77" s="133"/>
      <c r="D77" s="133"/>
    </row>
    <row r="78" spans="1:4" ht="14.25" x14ac:dyDescent="0.2">
      <c r="A78" s="143"/>
      <c r="B78" s="144"/>
      <c r="C78" s="133"/>
      <c r="D78" s="133"/>
    </row>
    <row r="79" spans="1:4" ht="14.25" x14ac:dyDescent="0.2">
      <c r="A79" s="143"/>
      <c r="B79" s="144"/>
      <c r="C79" s="133"/>
      <c r="D79" s="133"/>
    </row>
    <row r="80" spans="1:4" ht="14.25" x14ac:dyDescent="0.2">
      <c r="A80" s="143"/>
      <c r="B80" s="144"/>
      <c r="C80" s="133"/>
      <c r="D80" s="133"/>
    </row>
    <row r="81" spans="1:4" ht="14.25" x14ac:dyDescent="0.2">
      <c r="A81" s="143"/>
      <c r="B81" s="144"/>
      <c r="C81" s="133"/>
      <c r="D81" s="133"/>
    </row>
    <row r="82" spans="1:4" ht="14.25" x14ac:dyDescent="0.2">
      <c r="A82" s="143"/>
      <c r="B82" s="144"/>
      <c r="C82" s="133"/>
      <c r="D82" s="133"/>
    </row>
    <row r="83" spans="1:4" ht="14.25" x14ac:dyDescent="0.2">
      <c r="A83" s="143"/>
      <c r="B83" s="144"/>
      <c r="C83" s="133"/>
      <c r="D83" s="133"/>
    </row>
    <row r="84" spans="1:4" ht="14.25" x14ac:dyDescent="0.2">
      <c r="A84" s="143"/>
      <c r="B84" s="144"/>
      <c r="C84" s="133"/>
      <c r="D84" s="133"/>
    </row>
    <row r="85" spans="1:4" ht="14.25" x14ac:dyDescent="0.2">
      <c r="A85" s="143"/>
      <c r="B85" s="144"/>
      <c r="C85" s="133"/>
      <c r="D85" s="133"/>
    </row>
    <row r="86" spans="1:4" ht="14.25" x14ac:dyDescent="0.2">
      <c r="A86" s="143"/>
      <c r="B86" s="144"/>
      <c r="C86" s="133"/>
      <c r="D86" s="133"/>
    </row>
    <row r="87" spans="1:4" ht="14.25" x14ac:dyDescent="0.2">
      <c r="A87" s="143"/>
      <c r="B87" s="144"/>
      <c r="C87" s="133"/>
      <c r="D87" s="133"/>
    </row>
    <row r="88" spans="1:4" ht="14.25" x14ac:dyDescent="0.2">
      <c r="A88" s="143"/>
      <c r="B88" s="144"/>
      <c r="C88" s="133"/>
      <c r="D88" s="133"/>
    </row>
    <row r="89" spans="1:4" ht="14.25" x14ac:dyDescent="0.2">
      <c r="A89" s="143"/>
      <c r="B89" s="144"/>
      <c r="C89" s="133"/>
      <c r="D89" s="133"/>
    </row>
    <row r="90" spans="1:4" ht="14.25" x14ac:dyDescent="0.2">
      <c r="A90" s="143"/>
      <c r="B90" s="144"/>
      <c r="C90" s="133"/>
      <c r="D90" s="133"/>
    </row>
    <row r="91" spans="1:4" ht="14.25" x14ac:dyDescent="0.2">
      <c r="A91" s="143"/>
      <c r="B91" s="144"/>
      <c r="C91" s="133"/>
      <c r="D91" s="133"/>
    </row>
    <row r="92" spans="1:4" ht="14.25" x14ac:dyDescent="0.2">
      <c r="A92" s="143"/>
      <c r="B92" s="144"/>
      <c r="C92" s="133"/>
      <c r="D92" s="133"/>
    </row>
    <row r="93" spans="1:4" ht="14.25" x14ac:dyDescent="0.2">
      <c r="A93" s="143"/>
      <c r="B93" s="144"/>
      <c r="C93" s="133"/>
      <c r="D93" s="133"/>
    </row>
    <row r="94" spans="1:4" ht="14.25" x14ac:dyDescent="0.2">
      <c r="A94" s="143"/>
      <c r="B94" s="144"/>
      <c r="C94" s="133"/>
      <c r="D94" s="133"/>
    </row>
    <row r="95" spans="1:4" ht="14.25" x14ac:dyDescent="0.2">
      <c r="A95" s="143"/>
      <c r="B95" s="144"/>
      <c r="C95" s="133"/>
      <c r="D95" s="133"/>
    </row>
    <row r="96" spans="1:4" ht="14.25" x14ac:dyDescent="0.2">
      <c r="A96" s="143"/>
      <c r="B96" s="144"/>
      <c r="C96" s="133"/>
      <c r="D96" s="133"/>
    </row>
    <row r="97" spans="1:4" ht="14.25" x14ac:dyDescent="0.2">
      <c r="A97" s="143"/>
      <c r="B97" s="144"/>
      <c r="C97" s="133"/>
      <c r="D97" s="133"/>
    </row>
    <row r="98" spans="1:4" ht="14.25" x14ac:dyDescent="0.2">
      <c r="A98" s="143"/>
      <c r="B98" s="144"/>
      <c r="C98" s="133"/>
      <c r="D98" s="133"/>
    </row>
    <row r="99" spans="1:4" ht="14.25" x14ac:dyDescent="0.2">
      <c r="A99" s="143"/>
      <c r="B99" s="144"/>
      <c r="C99" s="133"/>
      <c r="D99" s="133"/>
    </row>
    <row r="100" spans="1:4" ht="14.25" x14ac:dyDescent="0.2">
      <c r="A100" s="143"/>
      <c r="B100" s="144"/>
      <c r="C100" s="133"/>
      <c r="D100" s="133"/>
    </row>
    <row r="101" spans="1:4" ht="14.25" x14ac:dyDescent="0.2">
      <c r="A101" s="143"/>
      <c r="B101" s="144"/>
      <c r="C101" s="133"/>
      <c r="D101" s="133"/>
    </row>
    <row r="102" spans="1:4" ht="14.25" x14ac:dyDescent="0.2">
      <c r="A102" s="143"/>
      <c r="B102" s="144"/>
      <c r="C102" s="133"/>
      <c r="D102" s="133"/>
    </row>
    <row r="103" spans="1:4" ht="14.25" x14ac:dyDescent="0.2">
      <c r="A103" s="143"/>
      <c r="B103" s="144"/>
      <c r="C103" s="133"/>
      <c r="D103" s="133"/>
    </row>
    <row r="104" spans="1:4" ht="14.25" x14ac:dyDescent="0.2">
      <c r="A104" s="143"/>
      <c r="B104" s="144"/>
      <c r="C104" s="133"/>
      <c r="D104" s="133"/>
    </row>
    <row r="105" spans="1:4" ht="14.25" x14ac:dyDescent="0.2">
      <c r="A105" s="143"/>
      <c r="B105" s="144"/>
      <c r="C105" s="133"/>
      <c r="D105" s="133"/>
    </row>
    <row r="106" spans="1:4" ht="14.25" x14ac:dyDescent="0.2">
      <c r="A106" s="143"/>
      <c r="B106" s="144"/>
      <c r="C106" s="133"/>
      <c r="D106" s="133"/>
    </row>
    <row r="107" spans="1:4" ht="14.25" x14ac:dyDescent="0.2">
      <c r="A107" s="143"/>
      <c r="B107" s="144"/>
      <c r="C107" s="133"/>
      <c r="D107" s="133"/>
    </row>
    <row r="108" spans="1:4" ht="14.25" x14ac:dyDescent="0.2">
      <c r="A108" s="143"/>
      <c r="B108" s="144"/>
      <c r="C108" s="133"/>
      <c r="D108" s="133"/>
    </row>
    <row r="109" spans="1:4" ht="14.25" x14ac:dyDescent="0.2">
      <c r="A109" s="143"/>
      <c r="B109" s="144"/>
      <c r="C109" s="133"/>
      <c r="D109" s="133"/>
    </row>
    <row r="110" spans="1:4" x14ac:dyDescent="0.2">
      <c r="A110" s="132"/>
      <c r="B110" s="133"/>
      <c r="C110" s="133"/>
      <c r="D110" s="133"/>
    </row>
    <row r="111" spans="1:4" x14ac:dyDescent="0.2">
      <c r="A111" s="132"/>
      <c r="B111" s="133"/>
      <c r="C111" s="133"/>
      <c r="D111" s="133"/>
    </row>
    <row r="112" spans="1:4" x14ac:dyDescent="0.2">
      <c r="A112" s="132"/>
      <c r="B112" s="133"/>
      <c r="C112" s="133"/>
      <c r="D112" s="133"/>
    </row>
    <row r="113" spans="1:4" x14ac:dyDescent="0.2">
      <c r="A113" s="132"/>
      <c r="B113" s="133"/>
      <c r="C113" s="133"/>
      <c r="D113" s="133"/>
    </row>
    <row r="114" spans="1:4" x14ac:dyDescent="0.2">
      <c r="A114" s="132"/>
      <c r="B114" s="133"/>
      <c r="C114" s="133"/>
      <c r="D114" s="133"/>
    </row>
    <row r="115" spans="1:4" x14ac:dyDescent="0.2">
      <c r="A115" s="132"/>
      <c r="B115" s="133"/>
      <c r="C115" s="133"/>
      <c r="D115" s="133"/>
    </row>
    <row r="116" spans="1:4" x14ac:dyDescent="0.2">
      <c r="A116" s="132"/>
      <c r="B116" s="133"/>
      <c r="C116" s="133"/>
      <c r="D116" s="133"/>
    </row>
    <row r="117" spans="1:4" x14ac:dyDescent="0.2">
      <c r="A117" s="132"/>
      <c r="B117" s="133"/>
      <c r="C117" s="133"/>
      <c r="D117" s="133"/>
    </row>
    <row r="118" spans="1:4" x14ac:dyDescent="0.2">
      <c r="A118" s="132"/>
      <c r="B118" s="133"/>
      <c r="C118" s="133"/>
      <c r="D118" s="133"/>
    </row>
    <row r="119" spans="1:4" x14ac:dyDescent="0.2">
      <c r="A119" s="132"/>
      <c r="B119" s="133"/>
      <c r="C119" s="133"/>
      <c r="D119" s="133"/>
    </row>
    <row r="120" spans="1:4" x14ac:dyDescent="0.2">
      <c r="A120" s="132"/>
      <c r="B120" s="133"/>
      <c r="C120" s="133"/>
      <c r="D120" s="133"/>
    </row>
    <row r="121" spans="1:4" x14ac:dyDescent="0.2">
      <c r="A121" s="132"/>
      <c r="B121" s="133"/>
      <c r="C121" s="133"/>
      <c r="D121" s="133"/>
    </row>
    <row r="122" spans="1:4" x14ac:dyDescent="0.2">
      <c r="A122" s="132"/>
      <c r="B122" s="133"/>
      <c r="C122" s="133"/>
      <c r="D122" s="133"/>
    </row>
    <row r="123" spans="1:4" x14ac:dyDescent="0.2">
      <c r="A123" s="132"/>
      <c r="B123" s="133"/>
      <c r="C123" s="133"/>
      <c r="D123" s="133"/>
    </row>
    <row r="124" spans="1:4" x14ac:dyDescent="0.2">
      <c r="A124" s="132"/>
      <c r="B124" s="133"/>
      <c r="C124" s="133"/>
      <c r="D124" s="133"/>
    </row>
    <row r="125" spans="1:4" x14ac:dyDescent="0.2">
      <c r="A125" s="132"/>
      <c r="B125" s="133"/>
      <c r="C125" s="133"/>
      <c r="D125" s="133"/>
    </row>
    <row r="126" spans="1:4" x14ac:dyDescent="0.2">
      <c r="A126" s="132"/>
      <c r="B126" s="133"/>
      <c r="C126" s="133"/>
      <c r="D126" s="133"/>
    </row>
    <row r="127" spans="1:4" x14ac:dyDescent="0.2">
      <c r="A127" s="132"/>
      <c r="B127" s="133"/>
      <c r="C127" s="133"/>
      <c r="D127" s="133"/>
    </row>
    <row r="128" spans="1:4" x14ac:dyDescent="0.2">
      <c r="A128" s="132"/>
      <c r="B128" s="133"/>
      <c r="C128" s="133"/>
      <c r="D128" s="133"/>
    </row>
    <row r="129" spans="1:4" x14ac:dyDescent="0.2">
      <c r="A129" s="132"/>
      <c r="B129" s="133"/>
      <c r="C129" s="133"/>
      <c r="D129" s="133"/>
    </row>
    <row r="130" spans="1:4" x14ac:dyDescent="0.2">
      <c r="A130" s="132"/>
      <c r="B130" s="133"/>
      <c r="C130" s="133"/>
      <c r="D130" s="133"/>
    </row>
    <row r="131" spans="1:4" x14ac:dyDescent="0.2">
      <c r="A131" s="132"/>
      <c r="B131" s="133"/>
      <c r="C131" s="133"/>
      <c r="D131" s="133"/>
    </row>
    <row r="132" spans="1:4" x14ac:dyDescent="0.2">
      <c r="A132" s="132"/>
      <c r="B132" s="133"/>
      <c r="C132" s="133"/>
      <c r="D132" s="133"/>
    </row>
    <row r="133" spans="1:4" x14ac:dyDescent="0.2">
      <c r="A133" s="132"/>
      <c r="B133" s="133"/>
      <c r="C133" s="133"/>
      <c r="D133" s="133"/>
    </row>
    <row r="134" spans="1:4" x14ac:dyDescent="0.2">
      <c r="A134" s="132"/>
      <c r="B134" s="133"/>
      <c r="C134" s="133"/>
      <c r="D134" s="133"/>
    </row>
    <row r="135" spans="1:4" x14ac:dyDescent="0.2">
      <c r="A135" s="132"/>
      <c r="B135" s="133"/>
      <c r="C135" s="133"/>
      <c r="D135" s="133"/>
    </row>
    <row r="136" spans="1:4" x14ac:dyDescent="0.2">
      <c r="A136" s="132"/>
      <c r="B136" s="133"/>
      <c r="C136" s="133"/>
      <c r="D136" s="133"/>
    </row>
    <row r="137" spans="1:4" x14ac:dyDescent="0.2">
      <c r="A137" s="132"/>
      <c r="B137" s="133"/>
      <c r="C137" s="133"/>
      <c r="D137" s="133"/>
    </row>
    <row r="138" spans="1:4" x14ac:dyDescent="0.2">
      <c r="A138" s="132"/>
      <c r="B138" s="133"/>
      <c r="C138" s="133"/>
      <c r="D138" s="133"/>
    </row>
    <row r="139" spans="1:4" x14ac:dyDescent="0.2">
      <c r="A139" s="132"/>
      <c r="B139" s="133"/>
      <c r="C139" s="133"/>
      <c r="D139" s="133"/>
    </row>
    <row r="140" spans="1:4" x14ac:dyDescent="0.2">
      <c r="A140" s="132"/>
      <c r="B140" s="133"/>
      <c r="C140" s="133"/>
      <c r="D140" s="133"/>
    </row>
    <row r="141" spans="1:4" x14ac:dyDescent="0.2">
      <c r="A141" s="132"/>
      <c r="B141" s="133"/>
      <c r="C141" s="133"/>
      <c r="D141" s="133"/>
    </row>
    <row r="142" spans="1:4" x14ac:dyDescent="0.2">
      <c r="A142" s="132"/>
      <c r="B142" s="133"/>
      <c r="C142" s="133"/>
      <c r="D142" s="133"/>
    </row>
    <row r="143" spans="1:4" x14ac:dyDescent="0.2">
      <c r="A143" s="132"/>
      <c r="B143" s="133"/>
      <c r="C143" s="133"/>
      <c r="D143" s="133"/>
    </row>
    <row r="144" spans="1:4" x14ac:dyDescent="0.2">
      <c r="A144" s="132"/>
      <c r="B144" s="133"/>
      <c r="C144" s="133"/>
      <c r="D144" s="133"/>
    </row>
    <row r="145" spans="1:4" x14ac:dyDescent="0.2">
      <c r="A145" s="132"/>
      <c r="B145" s="133"/>
      <c r="C145" s="133"/>
      <c r="D145" s="133"/>
    </row>
    <row r="146" spans="1:4" x14ac:dyDescent="0.2">
      <c r="A146" s="132"/>
      <c r="B146" s="133"/>
      <c r="C146" s="133"/>
      <c r="D146" s="133"/>
    </row>
    <row r="147" spans="1:4" x14ac:dyDescent="0.2">
      <c r="A147" s="132"/>
      <c r="B147" s="133"/>
      <c r="C147" s="133"/>
      <c r="D147" s="133"/>
    </row>
    <row r="148" spans="1:4" x14ac:dyDescent="0.2">
      <c r="A148" s="132"/>
      <c r="B148" s="133"/>
      <c r="C148" s="133"/>
      <c r="D148" s="133"/>
    </row>
    <row r="149" spans="1:4" x14ac:dyDescent="0.2">
      <c r="A149" s="132"/>
      <c r="B149" s="133"/>
      <c r="C149" s="133"/>
      <c r="D149" s="133"/>
    </row>
    <row r="150" spans="1:4" x14ac:dyDescent="0.2">
      <c r="A150" s="132"/>
      <c r="B150" s="133"/>
      <c r="C150" s="133"/>
      <c r="D150" s="133"/>
    </row>
    <row r="151" spans="1:4" x14ac:dyDescent="0.2">
      <c r="A151" s="132"/>
      <c r="B151" s="133"/>
      <c r="C151" s="133"/>
      <c r="D151" s="133"/>
    </row>
    <row r="152" spans="1:4" x14ac:dyDescent="0.2">
      <c r="A152" s="132"/>
      <c r="B152" s="133"/>
      <c r="C152" s="133"/>
      <c r="D152" s="133"/>
    </row>
    <row r="153" spans="1:4" x14ac:dyDescent="0.2">
      <c r="A153" s="132"/>
      <c r="B153" s="133"/>
      <c r="C153" s="133"/>
      <c r="D153" s="133"/>
    </row>
    <row r="154" spans="1:4" x14ac:dyDescent="0.2">
      <c r="A154" s="132"/>
      <c r="B154" s="133"/>
      <c r="C154" s="133"/>
      <c r="D154" s="133"/>
    </row>
    <row r="155" spans="1:4" x14ac:dyDescent="0.2">
      <c r="A155" s="132"/>
      <c r="B155" s="133"/>
      <c r="C155" s="133"/>
      <c r="D155" s="133"/>
    </row>
    <row r="156" spans="1:4" x14ac:dyDescent="0.2">
      <c r="A156" s="132"/>
      <c r="B156" s="133"/>
      <c r="C156" s="133"/>
      <c r="D156" s="133"/>
    </row>
    <row r="157" spans="1:4" x14ac:dyDescent="0.2">
      <c r="A157" s="132"/>
      <c r="B157" s="133"/>
      <c r="C157" s="133"/>
      <c r="D157" s="133"/>
    </row>
    <row r="158" spans="1:4" x14ac:dyDescent="0.2">
      <c r="A158" s="132"/>
      <c r="B158" s="133"/>
      <c r="C158" s="133"/>
      <c r="D158" s="133"/>
    </row>
    <row r="159" spans="1:4" x14ac:dyDescent="0.2">
      <c r="A159" s="132"/>
      <c r="B159" s="133"/>
      <c r="C159" s="133"/>
      <c r="D159" s="133"/>
    </row>
    <row r="160" spans="1:4" x14ac:dyDescent="0.2">
      <c r="A160" s="132"/>
      <c r="B160" s="133"/>
      <c r="C160" s="133"/>
      <c r="D160" s="133"/>
    </row>
    <row r="161" spans="1:4" x14ac:dyDescent="0.2">
      <c r="A161" s="132"/>
      <c r="B161" s="133"/>
      <c r="C161" s="133"/>
      <c r="D161" s="133"/>
    </row>
    <row r="162" spans="1:4" x14ac:dyDescent="0.2">
      <c r="A162" s="132"/>
      <c r="B162" s="133"/>
      <c r="C162" s="133"/>
      <c r="D162" s="133"/>
    </row>
    <row r="163" spans="1:4" x14ac:dyDescent="0.2">
      <c r="A163" s="132"/>
      <c r="B163" s="133"/>
      <c r="C163" s="133"/>
      <c r="D163" s="133"/>
    </row>
    <row r="164" spans="1:4" x14ac:dyDescent="0.2">
      <c r="A164" s="132"/>
      <c r="B164" s="133"/>
      <c r="C164" s="133"/>
      <c r="D164" s="133"/>
    </row>
    <row r="165" spans="1:4" x14ac:dyDescent="0.2">
      <c r="A165" s="132"/>
      <c r="B165" s="133"/>
      <c r="C165" s="133"/>
      <c r="D165" s="133"/>
    </row>
    <row r="166" spans="1:4" x14ac:dyDescent="0.2">
      <c r="A166" s="132"/>
      <c r="B166" s="133"/>
      <c r="C166" s="133"/>
      <c r="D166" s="133"/>
    </row>
    <row r="167" spans="1:4" x14ac:dyDescent="0.2">
      <c r="A167" s="132"/>
      <c r="B167" s="133"/>
      <c r="C167" s="133"/>
      <c r="D167" s="133"/>
    </row>
    <row r="168" spans="1:4" x14ac:dyDescent="0.2">
      <c r="A168" s="132"/>
      <c r="B168" s="133"/>
      <c r="C168" s="133"/>
      <c r="D168" s="133"/>
    </row>
    <row r="169" spans="1:4" x14ac:dyDescent="0.2">
      <c r="A169" s="132"/>
      <c r="B169" s="133"/>
      <c r="C169" s="133"/>
      <c r="D169" s="133"/>
    </row>
    <row r="170" spans="1:4" x14ac:dyDescent="0.2">
      <c r="A170" s="132"/>
      <c r="B170" s="133"/>
      <c r="C170" s="133"/>
      <c r="D170" s="133"/>
    </row>
    <row r="171" spans="1:4" x14ac:dyDescent="0.2">
      <c r="A171" s="132"/>
      <c r="B171" s="133"/>
      <c r="C171" s="133"/>
      <c r="D171" s="133"/>
    </row>
    <row r="172" spans="1:4" x14ac:dyDescent="0.2">
      <c r="A172" s="132"/>
      <c r="B172" s="133"/>
      <c r="C172" s="133"/>
      <c r="D172" s="133"/>
    </row>
    <row r="173" spans="1:4" x14ac:dyDescent="0.2">
      <c r="A173" s="132"/>
      <c r="B173" s="133"/>
      <c r="C173" s="133"/>
      <c r="D173" s="133"/>
    </row>
    <row r="174" spans="1:4" x14ac:dyDescent="0.2">
      <c r="A174" s="132"/>
      <c r="B174" s="133"/>
      <c r="C174" s="133"/>
      <c r="D174" s="133"/>
    </row>
    <row r="175" spans="1:4" x14ac:dyDescent="0.2">
      <c r="A175" s="132"/>
      <c r="B175" s="133"/>
      <c r="C175" s="133"/>
      <c r="D175" s="133"/>
    </row>
    <row r="176" spans="1:4" x14ac:dyDescent="0.2">
      <c r="A176" s="132"/>
      <c r="B176" s="133"/>
      <c r="C176" s="133"/>
      <c r="D176" s="133"/>
    </row>
    <row r="177" spans="1:4" x14ac:dyDescent="0.2">
      <c r="A177" s="132"/>
      <c r="B177" s="133"/>
      <c r="C177" s="133"/>
      <c r="D177" s="133"/>
    </row>
    <row r="178" spans="1:4" x14ac:dyDescent="0.2">
      <c r="A178" s="132"/>
      <c r="B178" s="133"/>
      <c r="C178" s="133"/>
      <c r="D178" s="133"/>
    </row>
    <row r="179" spans="1:4" x14ac:dyDescent="0.2">
      <c r="A179" s="132"/>
      <c r="B179" s="133"/>
      <c r="C179" s="133"/>
      <c r="D179" s="133"/>
    </row>
    <row r="180" spans="1:4" x14ac:dyDescent="0.2">
      <c r="A180" s="132"/>
      <c r="B180" s="133"/>
      <c r="C180" s="133"/>
      <c r="D180" s="133"/>
    </row>
    <row r="181" spans="1:4" x14ac:dyDescent="0.2">
      <c r="A181" s="132"/>
      <c r="B181" s="133"/>
      <c r="C181" s="133"/>
      <c r="D181" s="133"/>
    </row>
    <row r="182" spans="1:4" x14ac:dyDescent="0.2">
      <c r="A182" s="132"/>
      <c r="B182" s="133"/>
      <c r="C182" s="133"/>
      <c r="D182" s="133"/>
    </row>
    <row r="183" spans="1:4" x14ac:dyDescent="0.2">
      <c r="A183" s="132"/>
      <c r="B183" s="133"/>
      <c r="C183" s="133"/>
      <c r="D183" s="133"/>
    </row>
    <row r="184" spans="1:4" x14ac:dyDescent="0.2">
      <c r="A184" s="132"/>
      <c r="B184" s="133"/>
      <c r="C184" s="133"/>
      <c r="D184" s="133"/>
    </row>
    <row r="185" spans="1:4" x14ac:dyDescent="0.2">
      <c r="A185" s="132"/>
      <c r="B185" s="133"/>
      <c r="C185" s="133"/>
      <c r="D185" s="133"/>
    </row>
    <row r="186" spans="1:4" x14ac:dyDescent="0.2">
      <c r="A186" s="132"/>
      <c r="B186" s="133"/>
      <c r="C186" s="133"/>
      <c r="D186" s="133"/>
    </row>
    <row r="187" spans="1:4" x14ac:dyDescent="0.2">
      <c r="A187" s="132"/>
      <c r="B187" s="133"/>
      <c r="C187" s="133"/>
      <c r="D187" s="133"/>
    </row>
    <row r="188" spans="1:4" x14ac:dyDescent="0.2">
      <c r="A188" s="132"/>
      <c r="B188" s="133"/>
      <c r="C188" s="133"/>
      <c r="D188" s="133"/>
    </row>
    <row r="189" spans="1:4" x14ac:dyDescent="0.2">
      <c r="A189" s="132"/>
      <c r="B189" s="133"/>
      <c r="C189" s="133"/>
      <c r="D189" s="133"/>
    </row>
    <row r="190" spans="1:4" x14ac:dyDescent="0.2">
      <c r="A190" s="132"/>
      <c r="B190" s="133"/>
      <c r="C190" s="133"/>
      <c r="D190" s="133"/>
    </row>
    <row r="191" spans="1:4" x14ac:dyDescent="0.2">
      <c r="A191" s="132"/>
      <c r="B191" s="133"/>
      <c r="C191" s="133"/>
      <c r="D191" s="133"/>
    </row>
    <row r="192" spans="1:4" x14ac:dyDescent="0.2">
      <c r="A192" s="132"/>
      <c r="B192" s="133"/>
      <c r="C192" s="133"/>
      <c r="D192" s="133"/>
    </row>
    <row r="193" spans="1:5" x14ac:dyDescent="0.2">
      <c r="A193" s="132"/>
      <c r="B193" s="133"/>
      <c r="C193" s="133"/>
      <c r="D193" s="133"/>
    </row>
    <row r="194" spans="1:5" x14ac:dyDescent="0.2">
      <c r="A194" s="132"/>
      <c r="B194" s="133"/>
      <c r="C194" s="133"/>
      <c r="D194" s="133"/>
    </row>
    <row r="195" spans="1:5" x14ac:dyDescent="0.2">
      <c r="A195" s="132"/>
      <c r="B195" s="133"/>
      <c r="C195" s="133"/>
      <c r="D195" s="133"/>
    </row>
    <row r="196" spans="1:5" x14ac:dyDescent="0.2">
      <c r="A196" s="132"/>
      <c r="B196" s="133"/>
      <c r="C196" s="133"/>
      <c r="D196" s="133"/>
    </row>
    <row r="197" spans="1:5" x14ac:dyDescent="0.2">
      <c r="A197" s="132"/>
      <c r="B197" s="133"/>
      <c r="C197" s="133"/>
      <c r="D197" s="133"/>
    </row>
    <row r="198" spans="1:5" x14ac:dyDescent="0.2">
      <c r="A198" s="132"/>
      <c r="B198" s="133"/>
      <c r="C198" s="133"/>
      <c r="D198" s="133"/>
    </row>
    <row r="199" spans="1:5" x14ac:dyDescent="0.2">
      <c r="A199" s="132"/>
      <c r="B199" s="133"/>
      <c r="C199" s="133"/>
      <c r="D199" s="133"/>
    </row>
    <row r="200" spans="1:5" x14ac:dyDescent="0.2">
      <c r="A200" s="132"/>
      <c r="B200" s="133"/>
      <c r="C200" s="133"/>
      <c r="D200" s="133"/>
    </row>
    <row r="201" spans="1:5" x14ac:dyDescent="0.2">
      <c r="A201" s="132"/>
      <c r="B201" s="133"/>
      <c r="C201" s="133"/>
      <c r="D201" s="133"/>
    </row>
    <row r="202" spans="1:5" x14ac:dyDescent="0.2">
      <c r="A202" s="132"/>
      <c r="B202" s="133"/>
      <c r="C202" s="133"/>
      <c r="D202" s="133"/>
    </row>
    <row r="203" spans="1:5" x14ac:dyDescent="0.2">
      <c r="A203" s="132"/>
      <c r="B203" s="133"/>
      <c r="C203" s="133"/>
      <c r="D203" s="133"/>
    </row>
    <row r="204" spans="1:5" x14ac:dyDescent="0.2">
      <c r="A204" s="132"/>
      <c r="B204" s="133"/>
      <c r="C204" s="133"/>
      <c r="D204" s="133"/>
      <c r="E204" s="133"/>
    </row>
    <row r="205" spans="1:5" x14ac:dyDescent="0.2">
      <c r="A205" s="132"/>
      <c r="B205" s="133"/>
      <c r="C205" s="133"/>
      <c r="D205" s="133"/>
      <c r="E205" s="133"/>
    </row>
    <row r="206" spans="1:5" x14ac:dyDescent="0.2">
      <c r="A206" s="132"/>
      <c r="B206" s="133"/>
      <c r="C206" s="133"/>
      <c r="D206" s="133"/>
      <c r="E206" s="133"/>
    </row>
    <row r="207" spans="1:5" x14ac:dyDescent="0.2">
      <c r="A207" s="132"/>
      <c r="B207" s="133"/>
      <c r="C207" s="133"/>
      <c r="D207" s="133"/>
      <c r="E207" s="133"/>
    </row>
    <row r="208" spans="1:5" x14ac:dyDescent="0.2">
      <c r="A208" s="132"/>
      <c r="B208" s="133"/>
      <c r="C208" s="133"/>
      <c r="D208" s="133"/>
      <c r="E208" s="133"/>
    </row>
    <row r="209" spans="1:5" x14ac:dyDescent="0.2">
      <c r="A209" s="132"/>
      <c r="B209" s="133"/>
      <c r="C209" s="133"/>
      <c r="D209" s="133"/>
      <c r="E209" s="133"/>
    </row>
    <row r="210" spans="1:5" x14ac:dyDescent="0.2">
      <c r="A210" s="132"/>
      <c r="B210" s="133"/>
      <c r="C210" s="133"/>
      <c r="D210" s="133"/>
      <c r="E210" s="133"/>
    </row>
    <row r="211" spans="1:5" x14ac:dyDescent="0.2">
      <c r="A211" s="132"/>
      <c r="B211" s="133"/>
      <c r="C211" s="133"/>
      <c r="D211" s="133"/>
      <c r="E211" s="133"/>
    </row>
    <row r="212" spans="1:5" x14ac:dyDescent="0.2">
      <c r="A212" s="132"/>
      <c r="B212" s="133"/>
      <c r="C212" s="133"/>
      <c r="D212" s="133"/>
      <c r="E212" s="133"/>
    </row>
    <row r="213" spans="1:5" x14ac:dyDescent="0.2">
      <c r="A213" s="132"/>
      <c r="B213" s="133"/>
      <c r="C213" s="133"/>
      <c r="D213" s="133"/>
      <c r="E213" s="133"/>
    </row>
    <row r="214" spans="1:5" x14ac:dyDescent="0.2">
      <c r="A214" s="132"/>
      <c r="B214" s="133"/>
      <c r="C214" s="133"/>
      <c r="D214" s="133"/>
      <c r="E214" s="133"/>
    </row>
    <row r="215" spans="1:5" x14ac:dyDescent="0.2">
      <c r="A215" s="132"/>
      <c r="B215" s="133"/>
      <c r="C215" s="133"/>
      <c r="D215" s="133"/>
      <c r="E215" s="133"/>
    </row>
    <row r="216" spans="1:5" x14ac:dyDescent="0.2">
      <c r="A216" s="132"/>
      <c r="B216" s="133"/>
      <c r="C216" s="133"/>
      <c r="D216" s="133"/>
      <c r="E216" s="133"/>
    </row>
    <row r="217" spans="1:5" x14ac:dyDescent="0.2">
      <c r="A217" s="132"/>
      <c r="B217" s="133"/>
      <c r="C217" s="133"/>
      <c r="D217" s="133"/>
      <c r="E217" s="133"/>
    </row>
    <row r="218" spans="1:5" x14ac:dyDescent="0.2">
      <c r="A218" s="132"/>
      <c r="B218" s="133"/>
      <c r="C218" s="133"/>
      <c r="D218" s="133"/>
      <c r="E218" s="133"/>
    </row>
    <row r="219" spans="1:5" x14ac:dyDescent="0.2">
      <c r="A219" s="132"/>
      <c r="B219" s="133"/>
      <c r="C219" s="133"/>
      <c r="D219" s="133"/>
      <c r="E219" s="133"/>
    </row>
    <row r="220" spans="1:5" x14ac:dyDescent="0.2">
      <c r="A220" s="132"/>
      <c r="B220" s="133"/>
      <c r="C220" s="133"/>
      <c r="D220" s="133"/>
      <c r="E220" s="133"/>
    </row>
    <row r="221" spans="1:5" x14ac:dyDescent="0.2">
      <c r="A221" s="132"/>
      <c r="B221" s="133"/>
      <c r="C221" s="133"/>
      <c r="D221" s="133"/>
      <c r="E221" s="133"/>
    </row>
    <row r="222" spans="1:5" x14ac:dyDescent="0.2">
      <c r="A222" s="132"/>
      <c r="B222" s="133"/>
      <c r="C222" s="133"/>
      <c r="D222" s="133"/>
      <c r="E222" s="133"/>
    </row>
    <row r="223" spans="1:5" x14ac:dyDescent="0.2">
      <c r="A223" s="132"/>
      <c r="B223" s="133"/>
      <c r="C223" s="133"/>
      <c r="D223" s="133"/>
      <c r="E223" s="133"/>
    </row>
    <row r="224" spans="1:5" x14ac:dyDescent="0.2">
      <c r="A224" s="132"/>
      <c r="B224" s="133"/>
      <c r="C224" s="133"/>
      <c r="D224" s="133"/>
      <c r="E224" s="133"/>
    </row>
    <row r="225" spans="1:5" x14ac:dyDescent="0.2">
      <c r="A225" s="132"/>
      <c r="B225" s="133"/>
      <c r="C225" s="133"/>
      <c r="D225" s="133"/>
      <c r="E225" s="133"/>
    </row>
    <row r="226" spans="1:5" x14ac:dyDescent="0.2">
      <c r="A226" s="132"/>
      <c r="B226" s="133"/>
      <c r="C226" s="133"/>
      <c r="D226" s="133"/>
      <c r="E226" s="133"/>
    </row>
    <row r="227" spans="1:5" x14ac:dyDescent="0.2">
      <c r="A227" s="132"/>
      <c r="B227" s="133"/>
      <c r="C227" s="133"/>
      <c r="D227" s="133"/>
      <c r="E227" s="133"/>
    </row>
    <row r="228" spans="1:5" x14ac:dyDescent="0.2">
      <c r="A228" s="132"/>
      <c r="B228" s="133"/>
      <c r="C228" s="133"/>
      <c r="D228" s="133"/>
      <c r="E228" s="133"/>
    </row>
    <row r="229" spans="1:5" x14ac:dyDescent="0.2">
      <c r="A229" s="132"/>
      <c r="B229" s="133"/>
      <c r="C229" s="133"/>
      <c r="D229" s="133"/>
      <c r="E229" s="133"/>
    </row>
  </sheetData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U546"/>
  <sheetViews>
    <sheetView showGridLines="0" zoomScale="90" zoomScaleNormal="90" workbookViewId="0"/>
  </sheetViews>
  <sheetFormatPr defaultRowHeight="12.75" x14ac:dyDescent="0.2"/>
  <cols>
    <col min="1" max="1" width="21.7109375" customWidth="1"/>
    <col min="2" max="2" width="11.5703125" customWidth="1"/>
    <col min="3" max="3" width="9.5703125" customWidth="1"/>
    <col min="4" max="4" width="8.5703125" customWidth="1"/>
    <col min="5" max="5" width="9.7109375" customWidth="1"/>
    <col min="6" max="6" width="10.7109375" customWidth="1"/>
    <col min="7" max="7" width="7.7109375" customWidth="1"/>
    <col min="8" max="8" width="9.7109375" customWidth="1"/>
    <col min="9" max="9" width="1.7109375" customWidth="1"/>
    <col min="10" max="10" width="9.7109375" customWidth="1"/>
    <col min="11" max="12" width="10.7109375" customWidth="1"/>
    <col min="13" max="14" width="9.7109375" customWidth="1"/>
  </cols>
  <sheetData>
    <row r="1" spans="1:14" ht="14.25" x14ac:dyDescent="0.2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4.25" x14ac:dyDescent="0.2">
      <c r="A2" s="38"/>
      <c r="B2" s="158" t="s">
        <v>27</v>
      </c>
      <c r="C2" s="152"/>
      <c r="D2" s="40" t="s">
        <v>30</v>
      </c>
      <c r="E2" s="157"/>
      <c r="F2" s="152" t="s">
        <v>91</v>
      </c>
      <c r="G2" s="152"/>
      <c r="H2" s="152"/>
      <c r="I2" s="41"/>
      <c r="J2" s="157"/>
      <c r="K2" s="152"/>
      <c r="L2" s="159" t="s">
        <v>69</v>
      </c>
      <c r="M2" s="152"/>
      <c r="N2" s="38"/>
    </row>
    <row r="3" spans="1:14" ht="14.25" x14ac:dyDescent="0.2">
      <c r="A3" s="38" t="s">
        <v>83</v>
      </c>
      <c r="B3" s="40" t="s">
        <v>28</v>
      </c>
      <c r="C3" s="38" t="s">
        <v>29</v>
      </c>
      <c r="D3" s="40"/>
      <c r="E3" s="42" t="s">
        <v>8</v>
      </c>
      <c r="F3" s="42"/>
      <c r="G3" s="42"/>
      <c r="H3" s="42"/>
      <c r="I3" s="42"/>
      <c r="J3" s="40" t="s">
        <v>71</v>
      </c>
      <c r="K3" s="42" t="s">
        <v>99</v>
      </c>
      <c r="L3" s="42"/>
      <c r="M3" s="42"/>
      <c r="N3" s="42" t="s">
        <v>6</v>
      </c>
    </row>
    <row r="4" spans="1:14" ht="14.25" x14ac:dyDescent="0.2">
      <c r="A4" s="43" t="s">
        <v>87</v>
      </c>
      <c r="B4" s="44"/>
      <c r="C4" s="44"/>
      <c r="D4" s="44"/>
      <c r="E4" s="45" t="s">
        <v>7</v>
      </c>
      <c r="F4" s="45" t="s">
        <v>1</v>
      </c>
      <c r="G4" s="46" t="s">
        <v>2</v>
      </c>
      <c r="H4" s="47" t="s">
        <v>3</v>
      </c>
      <c r="I4" s="46"/>
      <c r="J4" s="46"/>
      <c r="K4" s="46" t="s">
        <v>5</v>
      </c>
      <c r="L4" s="47" t="s">
        <v>4</v>
      </c>
      <c r="M4" s="45" t="s">
        <v>3</v>
      </c>
      <c r="N4" s="46" t="s">
        <v>7</v>
      </c>
    </row>
    <row r="5" spans="1:14" ht="14.25" x14ac:dyDescent="0.2">
      <c r="A5" s="38"/>
      <c r="B5" s="150" t="s">
        <v>92</v>
      </c>
      <c r="C5" s="151"/>
      <c r="D5" s="48" t="s">
        <v>74</v>
      </c>
      <c r="G5" s="150"/>
      <c r="I5" s="150"/>
      <c r="J5" s="156" t="s">
        <v>168</v>
      </c>
      <c r="K5" s="150"/>
      <c r="L5" s="150"/>
      <c r="M5" s="150"/>
      <c r="N5" s="150"/>
    </row>
    <row r="6" spans="1:14" ht="16.5" customHeight="1" x14ac:dyDescent="0.2">
      <c r="A6" s="38" t="s">
        <v>139</v>
      </c>
      <c r="B6" s="49">
        <v>90.162000000000006</v>
      </c>
      <c r="C6" s="49">
        <v>89.542000000000002</v>
      </c>
      <c r="D6" s="49">
        <f>F6/C6</f>
        <v>49.268868240602174</v>
      </c>
      <c r="E6" s="50">
        <v>301.59500000000003</v>
      </c>
      <c r="F6" s="51">
        <f>F28</f>
        <v>4411.6329999999998</v>
      </c>
      <c r="G6" s="52">
        <v>21.810493399999999</v>
      </c>
      <c r="H6" s="52">
        <f t="shared" ref="H6:H7" si="0">SUM(E6:G6)</f>
        <v>4735.0384934000003</v>
      </c>
      <c r="I6" s="38"/>
      <c r="J6" s="51">
        <v>2054.9319999999998</v>
      </c>
      <c r="K6" s="51">
        <f t="shared" ref="K6:K8" si="1">M6-L6-J6</f>
        <v>108.2711933999999</v>
      </c>
      <c r="L6" s="52">
        <v>2133.7303000000002</v>
      </c>
      <c r="M6" s="52">
        <f t="shared" ref="M6:M8" si="2">H6-N6</f>
        <v>4296.9334933999999</v>
      </c>
      <c r="N6" s="52">
        <v>438.10500000000002</v>
      </c>
    </row>
    <row r="7" spans="1:14" ht="16.5" customHeight="1" x14ac:dyDescent="0.2">
      <c r="A7" s="38" t="s">
        <v>162</v>
      </c>
      <c r="B7" s="49">
        <v>89.195999999999998</v>
      </c>
      <c r="C7" s="49">
        <v>88.11</v>
      </c>
      <c r="D7" s="49">
        <f t="shared" ref="D7:D8" si="3">F7/C7</f>
        <v>51.570570877312448</v>
      </c>
      <c r="E7" s="50">
        <f>N6</f>
        <v>438.10500000000002</v>
      </c>
      <c r="F7" s="51">
        <f>F45</f>
        <v>4543.8829999999998</v>
      </c>
      <c r="G7" s="52">
        <v>17</v>
      </c>
      <c r="H7" s="52">
        <f t="shared" si="0"/>
        <v>4998.9879999999994</v>
      </c>
      <c r="I7" s="38"/>
      <c r="J7" s="51">
        <v>2085</v>
      </c>
      <c r="K7" s="51">
        <f t="shared" si="1"/>
        <v>163.98799999999937</v>
      </c>
      <c r="L7" s="52">
        <v>1745</v>
      </c>
      <c r="M7" s="52">
        <f t="shared" si="2"/>
        <v>3993.9879999999994</v>
      </c>
      <c r="N7" s="52">
        <v>1005</v>
      </c>
    </row>
    <row r="8" spans="1:14" ht="16.5" customHeight="1" x14ac:dyDescent="0.2">
      <c r="A8" s="38" t="s">
        <v>170</v>
      </c>
      <c r="B8" s="49">
        <v>76.7</v>
      </c>
      <c r="C8" s="49">
        <v>75.866</v>
      </c>
      <c r="D8" s="49">
        <f t="shared" si="3"/>
        <v>47.882463817783986</v>
      </c>
      <c r="E8" s="50">
        <f>N7</f>
        <v>1005</v>
      </c>
      <c r="F8" s="51">
        <v>3632.6509999999998</v>
      </c>
      <c r="G8" s="52">
        <v>20</v>
      </c>
      <c r="H8" s="52">
        <f>SUM(E8:G8)</f>
        <v>4657.6509999999998</v>
      </c>
      <c r="I8" s="38"/>
      <c r="J8" s="51">
        <v>2115</v>
      </c>
      <c r="K8" s="51">
        <f t="shared" si="1"/>
        <v>127.65099999999984</v>
      </c>
      <c r="L8" s="52">
        <v>1775</v>
      </c>
      <c r="M8" s="52">
        <f t="shared" si="2"/>
        <v>4017.6509999999998</v>
      </c>
      <c r="N8" s="52">
        <v>640</v>
      </c>
    </row>
    <row r="9" spans="1:14" ht="16.5" customHeight="1" x14ac:dyDescent="0.2">
      <c r="A9" s="41"/>
      <c r="B9" s="41"/>
      <c r="C9" s="41"/>
      <c r="D9" s="41"/>
      <c r="E9" s="54"/>
      <c r="F9" s="54"/>
      <c r="G9" s="55"/>
      <c r="H9" s="54"/>
      <c r="I9" s="54"/>
      <c r="J9" s="55"/>
      <c r="K9" s="55"/>
      <c r="L9" s="55"/>
      <c r="M9" s="55"/>
      <c r="N9" s="56"/>
    </row>
    <row r="10" spans="1:14" ht="16.5" customHeight="1" x14ac:dyDescent="0.2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80"/>
    </row>
    <row r="11" spans="1:14" ht="16.5" customHeight="1" x14ac:dyDescent="0.2">
      <c r="A11" s="38" t="s">
        <v>119</v>
      </c>
      <c r="B11" s="41"/>
      <c r="C11" s="41"/>
      <c r="D11" s="41"/>
      <c r="E11" s="56"/>
      <c r="F11" s="58"/>
      <c r="G11" s="59"/>
      <c r="H11" s="60"/>
      <c r="I11" s="60"/>
      <c r="J11" s="60"/>
      <c r="K11" s="61"/>
      <c r="L11" s="59"/>
      <c r="M11" s="59"/>
      <c r="N11" s="62"/>
    </row>
    <row r="12" spans="1:14" ht="16.5" customHeight="1" x14ac:dyDescent="0.2">
      <c r="A12" s="38" t="s">
        <v>102</v>
      </c>
      <c r="B12" s="41"/>
      <c r="C12" s="41"/>
      <c r="D12" s="41"/>
      <c r="E12" s="56"/>
      <c r="F12" s="63"/>
      <c r="G12" s="59">
        <f>(1.397845+28.520061+6.869446)*2.204622/60</f>
        <v>1.3517034256823999</v>
      </c>
      <c r="H12" s="60"/>
      <c r="I12" s="60"/>
      <c r="J12" s="60">
        <f>4.361207*2000/60</f>
        <v>145.37356666666668</v>
      </c>
      <c r="K12" s="64"/>
      <c r="L12" s="59">
        <f>(42.579358+4462.397)*2.204622/60</f>
        <v>165.5294998054446</v>
      </c>
      <c r="M12" s="59"/>
      <c r="N12" s="60"/>
    </row>
    <row r="13" spans="1:14" ht="16.5" customHeight="1" x14ac:dyDescent="0.2">
      <c r="A13" s="41" t="s">
        <v>108</v>
      </c>
      <c r="B13" s="41"/>
      <c r="C13" s="41"/>
      <c r="D13" s="41"/>
      <c r="E13" s="56"/>
      <c r="F13" s="58"/>
      <c r="G13" s="59">
        <f>(4.792131+65.902561+6.64419)*2.204622/60</f>
        <v>2.8417166785434</v>
      </c>
      <c r="H13" s="60"/>
      <c r="I13" s="60"/>
      <c r="J13" s="60">
        <f>5.277397*2000/60</f>
        <v>175.91323333333332</v>
      </c>
      <c r="K13" s="61"/>
      <c r="L13" s="59">
        <f>(65.402074+9578.586)*2.204622/60</f>
        <v>354.35580459463375</v>
      </c>
      <c r="M13" s="58"/>
      <c r="N13" s="62"/>
    </row>
    <row r="14" spans="1:14" ht="16.5" customHeight="1" x14ac:dyDescent="0.2">
      <c r="A14" s="41" t="s">
        <v>110</v>
      </c>
      <c r="B14" s="41"/>
      <c r="C14" s="41"/>
      <c r="D14" s="41"/>
      <c r="E14" s="56"/>
      <c r="F14" s="58"/>
      <c r="G14" s="59">
        <f>(14.782006+18.210518+5.828672)*2.204622/60</f>
        <v>1.4264343794651999</v>
      </c>
      <c r="H14" s="60"/>
      <c r="I14" s="60"/>
      <c r="J14" s="60">
        <f>5.200462*2000/60</f>
        <v>173.34873333333331</v>
      </c>
      <c r="K14" s="61"/>
      <c r="L14" s="59">
        <f>(75.780013+9112.264)*2.204622/60</f>
        <v>337.60273280046812</v>
      </c>
      <c r="M14" s="58"/>
      <c r="N14" s="62"/>
    </row>
    <row r="15" spans="1:14" ht="16.5" customHeight="1" x14ac:dyDescent="0.2">
      <c r="A15" s="41" t="s">
        <v>79</v>
      </c>
      <c r="B15" s="41"/>
      <c r="C15" s="41"/>
      <c r="D15" s="41"/>
      <c r="E15" s="56">
        <v>301.59500000000003</v>
      </c>
      <c r="F15" s="58">
        <f>4411.633</f>
        <v>4411.6329999999998</v>
      </c>
      <c r="G15" s="59">
        <f>G12+G13+G14</f>
        <v>5.6198544836910003</v>
      </c>
      <c r="H15" s="60">
        <f>SUM(E15:G15)</f>
        <v>4718.8478544836908</v>
      </c>
      <c r="I15" s="60"/>
      <c r="J15" s="60">
        <f>J12+J13+J14</f>
        <v>494.63553333333329</v>
      </c>
      <c r="K15" s="61">
        <f>M15-L15-J15</f>
        <v>206.04528394981099</v>
      </c>
      <c r="L15" s="59">
        <f>L12+L13+L14</f>
        <v>857.48803720054639</v>
      </c>
      <c r="M15" s="59">
        <f>H15-N15</f>
        <v>1558.1688544836907</v>
      </c>
      <c r="N15" s="60">
        <v>3160.6790000000001</v>
      </c>
    </row>
    <row r="16" spans="1:14" ht="16.5" customHeight="1" x14ac:dyDescent="0.2">
      <c r="A16" s="38" t="s">
        <v>111</v>
      </c>
      <c r="B16" s="41"/>
      <c r="C16" s="41"/>
      <c r="D16" s="41"/>
      <c r="E16" s="56"/>
      <c r="F16" s="58"/>
      <c r="G16" s="59">
        <f>(2.700212+43.931585+16.725267)*2.204622/60</f>
        <v>2.3279729524968</v>
      </c>
      <c r="H16" s="60"/>
      <c r="I16" s="60"/>
      <c r="J16" s="60">
        <f>5.290215*2000/60</f>
        <v>176.34049999999999</v>
      </c>
      <c r="K16" s="61"/>
      <c r="L16" s="59">
        <f>(67.748059+6157.158)*2.204622/60</f>
        <v>228.7260807600783</v>
      </c>
      <c r="M16" s="59"/>
      <c r="N16" s="62"/>
    </row>
    <row r="17" spans="1:15" ht="16.5" customHeight="1" x14ac:dyDescent="0.2">
      <c r="A17" s="38" t="s">
        <v>112</v>
      </c>
      <c r="B17" s="41"/>
      <c r="C17" s="41"/>
      <c r="D17" s="41"/>
      <c r="E17" s="56"/>
      <c r="F17" s="58"/>
      <c r="G17" s="59">
        <f>(1.98112+31.469763+6.367872)*2.204622/60</f>
        <v>1.4630883880934999</v>
      </c>
      <c r="H17" s="60"/>
      <c r="I17" s="60"/>
      <c r="J17" s="60">
        <f>5.239827*2000/60</f>
        <v>174.6609</v>
      </c>
      <c r="K17" s="59"/>
      <c r="L17" s="59">
        <f>(51.273426+5756.01)*2.204622/60</f>
        <v>213.3810800199162</v>
      </c>
      <c r="M17" s="58"/>
      <c r="N17" s="62"/>
    </row>
    <row r="18" spans="1:15" ht="16.5" customHeight="1" x14ac:dyDescent="0.2">
      <c r="A18" s="38" t="s">
        <v>113</v>
      </c>
      <c r="B18" s="41"/>
      <c r="C18" s="41"/>
      <c r="D18" s="41"/>
      <c r="E18" s="56"/>
      <c r="F18" s="58"/>
      <c r="G18" s="59">
        <f>(2.319904+15.72352+13.967075)*2.204622/60</f>
        <v>1.1761841721063002</v>
      </c>
      <c r="H18" s="60"/>
      <c r="I18" s="60"/>
      <c r="J18" s="60">
        <f>4.948772*2000/60</f>
        <v>164.95906666666667</v>
      </c>
      <c r="K18" s="59"/>
      <c r="L18" s="59">
        <f>(69.309725+4168.317)*2.204622/60</f>
        <v>155.70608509538252</v>
      </c>
      <c r="M18" s="58"/>
      <c r="N18" s="62"/>
    </row>
    <row r="19" spans="1:15" ht="16.5" customHeight="1" x14ac:dyDescent="0.2">
      <c r="A19" s="38" t="s">
        <v>80</v>
      </c>
      <c r="B19" s="41"/>
      <c r="C19" s="41"/>
      <c r="D19" s="41"/>
      <c r="E19" s="56">
        <f>N15</f>
        <v>3160.6790000000001</v>
      </c>
      <c r="F19" s="63"/>
      <c r="G19" s="59">
        <f>SUM(G16:G18)</f>
        <v>4.9672455126966</v>
      </c>
      <c r="H19" s="60">
        <f>E19+F19+G19</f>
        <v>3165.6462455126966</v>
      </c>
      <c r="I19" s="60"/>
      <c r="J19" s="60">
        <f>SUM(J16:J18)</f>
        <v>515.96046666666666</v>
      </c>
      <c r="K19" s="64">
        <f>M19-L19-J19</f>
        <v>-57.430467029346914</v>
      </c>
      <c r="L19" s="59">
        <f>SUM(L16:L18)</f>
        <v>597.81324587537699</v>
      </c>
      <c r="M19" s="59">
        <f>H19-N19</f>
        <v>1056.3432455126967</v>
      </c>
      <c r="N19" s="60">
        <v>2109.3029999999999</v>
      </c>
    </row>
    <row r="20" spans="1:15" ht="16.5" customHeight="1" x14ac:dyDescent="0.2">
      <c r="A20" s="38" t="s">
        <v>114</v>
      </c>
      <c r="B20" s="41"/>
      <c r="C20" s="41"/>
      <c r="D20" s="41"/>
      <c r="E20" s="56"/>
      <c r="F20" s="63"/>
      <c r="G20" s="59">
        <f>(15.861348+36.213102+6.168282)*2.204622/60</f>
        <v>2.1400534717883999</v>
      </c>
      <c r="H20" s="60"/>
      <c r="I20" s="60"/>
      <c r="J20" s="60">
        <f>5.46524*2000/60</f>
        <v>182.17466666666667</v>
      </c>
      <c r="K20" s="64"/>
      <c r="L20" s="59">
        <f>(72.22807+3149.317)*2.204622/60</f>
        <v>118.371485588559</v>
      </c>
      <c r="M20" s="59"/>
      <c r="N20" s="60"/>
    </row>
    <row r="21" spans="1:15" ht="16.5" customHeight="1" x14ac:dyDescent="0.2">
      <c r="A21" s="38" t="s">
        <v>115</v>
      </c>
      <c r="B21" s="41"/>
      <c r="C21" s="41"/>
      <c r="D21" s="41"/>
      <c r="E21" s="56"/>
      <c r="F21" s="63"/>
      <c r="G21" s="59">
        <f>(9.593178+38.602173+17.616459)*2.204622/60</f>
        <v>2.4181694030970005</v>
      </c>
      <c r="H21" s="60"/>
      <c r="I21" s="60"/>
      <c r="J21" s="60">
        <f>5.149147*2000/60</f>
        <v>171.63823333333332</v>
      </c>
      <c r="K21" s="64"/>
      <c r="L21" s="59">
        <f>(56.392705+2138.052)*2.204622/60</f>
        <v>80.632017907108519</v>
      </c>
      <c r="M21" s="59"/>
      <c r="N21" s="60"/>
    </row>
    <row r="22" spans="1:15" ht="16.5" customHeight="1" x14ac:dyDescent="0.2">
      <c r="A22" s="38" t="s">
        <v>116</v>
      </c>
      <c r="B22" s="41"/>
      <c r="C22" s="41"/>
      <c r="D22" s="41"/>
      <c r="E22" s="56"/>
      <c r="F22" s="63"/>
      <c r="G22" s="59">
        <f>(14.90743+18.49162+16.993229)*2.204622/60</f>
        <v>1.8515987818923001</v>
      </c>
      <c r="H22" s="60"/>
      <c r="I22" s="60"/>
      <c r="J22" s="60">
        <f>5.17404*2000/60</f>
        <v>172.46799999999999</v>
      </c>
      <c r="K22" s="64"/>
      <c r="L22" s="59">
        <f>(50.819292+3059.675)*2.204622/60</f>
        <v>114.29106911696041</v>
      </c>
      <c r="M22" s="59"/>
      <c r="N22" s="60"/>
    </row>
    <row r="23" spans="1:15" ht="16.5" customHeight="1" x14ac:dyDescent="0.2">
      <c r="A23" s="38" t="s">
        <v>81</v>
      </c>
      <c r="B23" s="41"/>
      <c r="C23" s="41"/>
      <c r="D23" s="41"/>
      <c r="E23" s="56">
        <f>N19</f>
        <v>2109.3029999999999</v>
      </c>
      <c r="F23" s="63"/>
      <c r="G23" s="59">
        <f>SUM(G20:G22)</f>
        <v>6.4098216567777007</v>
      </c>
      <c r="H23" s="60">
        <f>E23+F23+G23</f>
        <v>2115.7128216567776</v>
      </c>
      <c r="I23" s="60"/>
      <c r="J23" s="60">
        <f>SUM(J20:J22)</f>
        <v>526.28089999999997</v>
      </c>
      <c r="K23" s="64">
        <f>M23-L23-J23</f>
        <v>56.808349044149736</v>
      </c>
      <c r="L23" s="59">
        <f>SUM(L20:L22)</f>
        <v>313.29457261262792</v>
      </c>
      <c r="M23" s="59">
        <f>H23-N23</f>
        <v>896.38382165677763</v>
      </c>
      <c r="N23" s="60">
        <v>1219.329</v>
      </c>
      <c r="O23" s="36"/>
    </row>
    <row r="24" spans="1:15" ht="16.5" customHeight="1" x14ac:dyDescent="0.2">
      <c r="A24" s="38" t="s">
        <v>65</v>
      </c>
      <c r="B24" s="41"/>
      <c r="C24" s="41"/>
      <c r="D24" s="41"/>
      <c r="E24" s="56"/>
      <c r="F24" s="63"/>
      <c r="G24" s="59">
        <f>(15.577358+28.563629+7.567862)*2.204622/60</f>
        <v>1.8999744350012999</v>
      </c>
      <c r="H24" s="60"/>
      <c r="I24" s="60"/>
      <c r="J24" s="60">
        <f>5.086941*2000/60</f>
        <v>169.56470000000002</v>
      </c>
      <c r="K24" s="64"/>
      <c r="L24" s="59">
        <f>(51.181312+3071.908)*2.204622/60</f>
        <v>114.75385675333442</v>
      </c>
      <c r="M24" s="59"/>
      <c r="N24" s="60"/>
    </row>
    <row r="25" spans="1:15" ht="16.5" customHeight="1" x14ac:dyDescent="0.2">
      <c r="A25" s="38" t="s">
        <v>67</v>
      </c>
      <c r="B25" s="41"/>
      <c r="C25" s="41"/>
      <c r="D25" s="41"/>
      <c r="E25" s="56"/>
      <c r="F25" s="63"/>
      <c r="G25" s="59">
        <f>(6.41109+44.056455+8.383665)*2.204622/60</f>
        <v>2.1624112048770003</v>
      </c>
      <c r="H25" s="60"/>
      <c r="I25" s="60"/>
      <c r="J25" s="60">
        <f>5.365828*2000/60</f>
        <v>178.86093333333332</v>
      </c>
      <c r="K25" s="64"/>
      <c r="L25" s="59">
        <f>(68.729166+3356.567)*2.204622/60</f>
        <v>125.8580547346542</v>
      </c>
      <c r="M25" s="59"/>
      <c r="N25" s="60"/>
    </row>
    <row r="26" spans="1:15" ht="16.5" customHeight="1" x14ac:dyDescent="0.2">
      <c r="A26" s="38" t="s">
        <v>68</v>
      </c>
      <c r="B26" s="41"/>
      <c r="C26" s="41"/>
      <c r="D26" s="41"/>
      <c r="E26" s="56"/>
      <c r="F26" s="63"/>
      <c r="G26" s="59">
        <f>(2.001159+12.689128+5.753656)*2.204622/60</f>
        <v>0.75118610840910016</v>
      </c>
      <c r="H26" s="60"/>
      <c r="I26" s="60"/>
      <c r="J26" s="60">
        <f>5.088884*2000/60</f>
        <v>169.62946666666667</v>
      </c>
      <c r="K26" s="64"/>
      <c r="L26" s="59">
        <f>(72.96862+3315.98)*2.204622/60</f>
        <v>124.52251140869402</v>
      </c>
      <c r="M26" s="59"/>
      <c r="N26" s="60"/>
    </row>
    <row r="27" spans="1:15" ht="16.5" customHeight="1" x14ac:dyDescent="0.2">
      <c r="A27" s="65" t="s">
        <v>82</v>
      </c>
      <c r="B27" s="41"/>
      <c r="C27" s="41"/>
      <c r="D27" s="41"/>
      <c r="E27" s="56">
        <f>N23</f>
        <v>1219.329</v>
      </c>
      <c r="F27" s="63"/>
      <c r="G27" s="59">
        <f>SUM(G24:G26)</f>
        <v>4.8135717482874005</v>
      </c>
      <c r="H27" s="60">
        <f>SUM(E27:G27)</f>
        <v>1224.1425717482873</v>
      </c>
      <c r="I27" s="60"/>
      <c r="J27" s="60">
        <f>SUM(J24:J26)</f>
        <v>518.05510000000004</v>
      </c>
      <c r="K27" s="64">
        <f>M27-L27-J27</f>
        <v>-97.151951148395369</v>
      </c>
      <c r="L27" s="59">
        <f>SUM(L24:L26)</f>
        <v>365.13442289668262</v>
      </c>
      <c r="M27" s="59">
        <f>+H27-N27</f>
        <v>786.03757174828729</v>
      </c>
      <c r="N27" s="60">
        <v>438.10500000000002</v>
      </c>
    </row>
    <row r="28" spans="1:15" ht="16.5" customHeight="1" x14ac:dyDescent="0.2">
      <c r="A28" s="38" t="s">
        <v>38</v>
      </c>
      <c r="B28" s="41"/>
      <c r="C28" s="41"/>
      <c r="D28" s="41"/>
      <c r="E28" s="56"/>
      <c r="F28" s="63">
        <f>F15+F19+F23+F27</f>
        <v>4411.6329999999998</v>
      </c>
      <c r="G28" s="59">
        <f>G15+G19+G23+G27</f>
        <v>21.810493401452703</v>
      </c>
      <c r="H28" s="60">
        <f>E15+F28+G28</f>
        <v>4735.0384934014528</v>
      </c>
      <c r="I28" s="60"/>
      <c r="J28" s="60">
        <f>J15+J19+J23+J27</f>
        <v>2054.9319999999998</v>
      </c>
      <c r="K28" s="64">
        <f>K15+K19+K23+K27</f>
        <v>108.27121481621845</v>
      </c>
      <c r="L28" s="59">
        <f>L15+L19+L23+L27</f>
        <v>2133.7302785852339</v>
      </c>
      <c r="M28" s="59">
        <f>M15+M19+M23+M27</f>
        <v>4296.9334934014523</v>
      </c>
      <c r="N28" s="60"/>
    </row>
    <row r="29" spans="1:15" ht="16.5" customHeight="1" x14ac:dyDescent="0.2">
      <c r="A29" s="41"/>
      <c r="B29" s="41"/>
      <c r="C29" s="41"/>
      <c r="D29" s="41"/>
      <c r="E29" s="56"/>
      <c r="F29" s="58"/>
      <c r="G29" s="59"/>
      <c r="H29" s="60"/>
      <c r="I29" s="60"/>
      <c r="J29" s="60"/>
      <c r="K29" s="61"/>
      <c r="L29" s="59"/>
      <c r="M29" s="59"/>
      <c r="N29" s="62"/>
    </row>
    <row r="30" spans="1:15" ht="16.5" customHeight="1" x14ac:dyDescent="0.2">
      <c r="A30" s="38" t="s">
        <v>163</v>
      </c>
      <c r="B30" s="41"/>
      <c r="C30" s="41"/>
      <c r="D30" s="41"/>
      <c r="E30" s="56"/>
      <c r="F30" s="58"/>
      <c r="G30" s="59"/>
      <c r="H30" s="60"/>
      <c r="I30" s="60"/>
      <c r="J30" s="60"/>
      <c r="K30" s="61"/>
      <c r="L30" s="59"/>
      <c r="M30" s="59"/>
      <c r="N30" s="62"/>
    </row>
    <row r="31" spans="1:15" ht="16.5" customHeight="1" x14ac:dyDescent="0.2">
      <c r="A31" s="41" t="s">
        <v>102</v>
      </c>
      <c r="B31" s="41"/>
      <c r="C31" s="41"/>
      <c r="D31" s="41"/>
      <c r="F31" s="58"/>
      <c r="G31" s="59">
        <f>(2.816098+19.605255+5.608301)*2.204622/60</f>
        <v>1.0299131976797999</v>
      </c>
      <c r="H31" s="60"/>
      <c r="I31" s="60"/>
      <c r="J31" s="60">
        <f>5.08948*2000/60</f>
        <v>169.64933333333332</v>
      </c>
      <c r="K31" s="61"/>
      <c r="L31" s="59">
        <f>(121.600804+3213.822)*2.204622/60</f>
        <v>122.55577488333482</v>
      </c>
      <c r="M31" s="59"/>
      <c r="N31" s="62"/>
    </row>
    <row r="32" spans="1:15" ht="16.5" customHeight="1" x14ac:dyDescent="0.2">
      <c r="A32" s="41" t="s">
        <v>108</v>
      </c>
      <c r="B32" s="41"/>
      <c r="C32" s="41"/>
      <c r="D32" s="41"/>
      <c r="E32" s="56"/>
      <c r="F32" s="58"/>
      <c r="G32" s="59">
        <f>(3.31633+14.647271+3.156869)*2.204622/60</f>
        <v>0.77604421353900011</v>
      </c>
      <c r="H32" s="60"/>
      <c r="I32" s="60"/>
      <c r="J32" s="60">
        <f>5.506753*2000/60</f>
        <v>183.55843333333331</v>
      </c>
      <c r="K32" s="61"/>
      <c r="L32" s="59">
        <f>(124.374731+5333.268)*2.204622/60</f>
        <v>200.5339872150447</v>
      </c>
      <c r="M32" s="59"/>
      <c r="N32" s="62"/>
    </row>
    <row r="33" spans="1:73" ht="16.5" customHeight="1" x14ac:dyDescent="0.2">
      <c r="A33" s="41" t="s">
        <v>110</v>
      </c>
      <c r="B33" s="145"/>
      <c r="C33" s="145"/>
      <c r="D33" s="145"/>
      <c r="E33" s="145"/>
      <c r="F33" s="145"/>
      <c r="G33" s="59">
        <f>(1.859426+43.030142+5.079898)*2.204622/60</f>
        <v>1.8360630678641998</v>
      </c>
      <c r="H33" s="60"/>
      <c r="I33" s="145"/>
      <c r="J33" s="60">
        <f>5.343053*2000/60</f>
        <v>178.10176666666666</v>
      </c>
      <c r="K33" s="145"/>
      <c r="L33" s="59">
        <f>(169.194848+4710.15)*2.204622/60</f>
        <v>179.2851832914576</v>
      </c>
      <c r="M33" s="145"/>
      <c r="N33" s="145"/>
    </row>
    <row r="34" spans="1:73" ht="16.5" customHeight="1" x14ac:dyDescent="0.2">
      <c r="A34" s="41" t="s">
        <v>79</v>
      </c>
      <c r="B34" s="145"/>
      <c r="C34" s="145"/>
      <c r="D34" s="145"/>
      <c r="E34" s="56">
        <f>N27</f>
        <v>438.10500000000002</v>
      </c>
      <c r="F34" s="58">
        <v>4543.8829999999998</v>
      </c>
      <c r="G34" s="59">
        <f>G31+G32+G33</f>
        <v>3.642020479083</v>
      </c>
      <c r="H34" s="60">
        <f>SUM(E34:G34)</f>
        <v>4985.6300204790823</v>
      </c>
      <c r="I34" s="145"/>
      <c r="J34" s="60">
        <f>J31+J32+J33</f>
        <v>531.30953333333332</v>
      </c>
      <c r="K34" s="61">
        <f>M34-L34-J34</f>
        <v>206.12154175591172</v>
      </c>
      <c r="L34" s="59">
        <f>L31+L32+L33</f>
        <v>502.37494538983714</v>
      </c>
      <c r="M34" s="59">
        <f>H34-N34</f>
        <v>1239.8060204790822</v>
      </c>
      <c r="N34" s="60">
        <v>3745.8240000000001</v>
      </c>
    </row>
    <row r="35" spans="1:73" ht="16.5" customHeight="1" x14ac:dyDescent="0.2">
      <c r="A35" s="38" t="s">
        <v>111</v>
      </c>
      <c r="B35" s="145"/>
      <c r="C35" s="145"/>
      <c r="D35" s="145"/>
      <c r="E35" s="56"/>
      <c r="F35" s="58"/>
      <c r="G35" s="59">
        <f>(0.250128+23.870515+6.809791)*2.204622/60</f>
        <v>1.1364985877658</v>
      </c>
      <c r="H35" s="60"/>
      <c r="I35" s="145"/>
      <c r="J35" s="60">
        <f>5.513266*2000/60</f>
        <v>183.77553333333333</v>
      </c>
      <c r="K35" s="145"/>
      <c r="L35" s="59">
        <f>(167.796097+3846.683)*2.204622/60</f>
        <v>147.50681559643891</v>
      </c>
      <c r="M35" s="145"/>
      <c r="N35" s="145"/>
    </row>
    <row r="36" spans="1:73" ht="16.5" customHeight="1" x14ac:dyDescent="0.2">
      <c r="A36" s="38" t="s">
        <v>112</v>
      </c>
      <c r="B36" s="145"/>
      <c r="C36" s="145"/>
      <c r="D36" s="145"/>
      <c r="E36" s="56"/>
      <c r="F36" s="58"/>
      <c r="G36" s="59">
        <f>(1.028736+20.235107+6.406535)*2.204622/60</f>
        <v>1.0167120681185999</v>
      </c>
      <c r="H36" s="60"/>
      <c r="I36" s="145"/>
      <c r="J36" s="60">
        <f>5.492127*2000/60</f>
        <v>183.07090000000002</v>
      </c>
      <c r="K36" s="145"/>
      <c r="L36" s="59">
        <f>(84.586634+4743.657)*2.204622/60</f>
        <v>177.40753561460582</v>
      </c>
      <c r="M36" s="145"/>
      <c r="N36" s="145"/>
    </row>
    <row r="37" spans="1:73" ht="16.5" customHeight="1" x14ac:dyDescent="0.2">
      <c r="A37" s="38" t="s">
        <v>113</v>
      </c>
      <c r="B37" s="145"/>
      <c r="C37" s="145"/>
      <c r="D37" s="145"/>
      <c r="E37" s="56"/>
      <c r="F37" s="58"/>
      <c r="G37" s="59">
        <f>(0.546152+34.232142+5.00264)*2.204622/60</f>
        <v>1.4616987046158001</v>
      </c>
      <c r="H37" s="60"/>
      <c r="I37" s="145"/>
      <c r="J37" s="60">
        <f>4.883434*2000/60</f>
        <v>162.78113333333334</v>
      </c>
      <c r="K37" s="145"/>
      <c r="L37" s="59">
        <f>(56.036225+4521.322)*2.204622/60</f>
        <v>168.18907741193249</v>
      </c>
      <c r="M37" s="145"/>
      <c r="N37" s="145"/>
    </row>
    <row r="38" spans="1:73" ht="16.5" customHeight="1" x14ac:dyDescent="0.2">
      <c r="A38" s="38" t="s">
        <v>80</v>
      </c>
      <c r="B38" s="145"/>
      <c r="C38" s="145"/>
      <c r="D38" s="145"/>
      <c r="E38" s="56">
        <f>N34</f>
        <v>3745.8240000000001</v>
      </c>
      <c r="F38" s="58"/>
      <c r="G38" s="59">
        <f>SUM(G35:G37)</f>
        <v>3.6149093605001998</v>
      </c>
      <c r="H38" s="60">
        <f>E38+F38+G38</f>
        <v>3749.4389093605005</v>
      </c>
      <c r="I38" s="145"/>
      <c r="J38" s="60">
        <f>SUM(J35:J37)</f>
        <v>529.62756666666678</v>
      </c>
      <c r="K38" s="61">
        <f>M38-L38-J38</f>
        <v>-0.36108592914342807</v>
      </c>
      <c r="L38" s="59">
        <f>SUM(L35:L37)</f>
        <v>493.10342862297722</v>
      </c>
      <c r="M38" s="59">
        <f>H38-N38</f>
        <v>1022.3699093605005</v>
      </c>
      <c r="N38" s="60">
        <v>2727.069</v>
      </c>
    </row>
    <row r="39" spans="1:73" ht="16.5" customHeight="1" x14ac:dyDescent="0.2">
      <c r="A39" s="38" t="s">
        <v>114</v>
      </c>
      <c r="B39" s="145"/>
      <c r="C39" s="145"/>
      <c r="D39" s="145"/>
      <c r="E39" s="56"/>
      <c r="F39" s="58"/>
      <c r="G39" s="59">
        <v>1.4917554186527999</v>
      </c>
      <c r="H39" s="60"/>
      <c r="I39" s="145"/>
      <c r="J39" s="60">
        <f>5.383008*2000/60</f>
        <v>179.43359999999998</v>
      </c>
      <c r="K39" s="162"/>
      <c r="L39" s="59">
        <v>136.19169183827341</v>
      </c>
      <c r="M39" s="162"/>
      <c r="N39" s="145"/>
    </row>
    <row r="40" spans="1:73" ht="16.5" customHeight="1" x14ac:dyDescent="0.2">
      <c r="A40" s="38" t="s">
        <v>115</v>
      </c>
      <c r="B40" s="145"/>
      <c r="C40" s="145"/>
      <c r="D40" s="145"/>
      <c r="E40" s="56"/>
      <c r="F40" s="58"/>
      <c r="G40" s="59">
        <f>(9.421895+24.904466+8.271368)*2.204622/60</f>
        <v>1.5651981750573001</v>
      </c>
      <c r="H40" s="60"/>
      <c r="I40" s="145"/>
      <c r="J40" s="60">
        <f>5.146403*2000/60</f>
        <v>171.54676666666668</v>
      </c>
      <c r="K40" s="64"/>
      <c r="L40" s="59">
        <f>(114.437871+2284.81)*2.204622/60</f>
        <v>88.157243997662718</v>
      </c>
      <c r="M40" s="59"/>
      <c r="N40" s="145"/>
    </row>
    <row r="41" spans="1:73" ht="16.5" customHeight="1" x14ac:dyDescent="0.2">
      <c r="A41" s="38" t="s">
        <v>116</v>
      </c>
      <c r="B41" s="145"/>
      <c r="C41" s="145"/>
      <c r="D41" s="145"/>
      <c r="E41" s="56"/>
      <c r="F41" s="58"/>
      <c r="G41" s="59">
        <f>(3.384561+5.982905+8.068079)*2.204622/60</f>
        <v>0.64064643481650008</v>
      </c>
      <c r="H41" s="60"/>
      <c r="I41" s="145"/>
      <c r="J41" s="60">
        <f>4.963271*2000/60</f>
        <v>165.44236666666666</v>
      </c>
      <c r="K41" s="64"/>
      <c r="L41" s="59">
        <f>(46.958948+2513.478)*2.204622/60</f>
        <v>94.079927086227599</v>
      </c>
      <c r="M41" s="59"/>
      <c r="N41" s="145"/>
    </row>
    <row r="42" spans="1:73" ht="16.5" customHeight="1" x14ac:dyDescent="0.2">
      <c r="A42" s="38" t="s">
        <v>81</v>
      </c>
      <c r="B42" s="41"/>
      <c r="C42" s="41"/>
      <c r="D42" s="41"/>
      <c r="E42" s="56">
        <f>N38</f>
        <v>2727.069</v>
      </c>
      <c r="F42" s="63"/>
      <c r="G42" s="59">
        <f>SUM(G39:G41)</f>
        <v>3.6976000285265997</v>
      </c>
      <c r="H42" s="60">
        <f>E42+F42+G42</f>
        <v>2730.7666000285267</v>
      </c>
      <c r="I42" s="60"/>
      <c r="J42" s="60">
        <f>SUM(J39:J41)</f>
        <v>516.42273333333333</v>
      </c>
      <c r="K42" s="64">
        <f>M42-L42-J42</f>
        <v>105.93400377302964</v>
      </c>
      <c r="L42" s="59">
        <f>SUM(L39:L41)</f>
        <v>318.42886292216372</v>
      </c>
      <c r="M42" s="59">
        <f>H42-N42</f>
        <v>940.78560002852669</v>
      </c>
      <c r="N42" s="60">
        <v>1789.981</v>
      </c>
    </row>
    <row r="43" spans="1:73" ht="16.5" customHeight="1" x14ac:dyDescent="0.2">
      <c r="A43" s="38" t="s">
        <v>65</v>
      </c>
      <c r="B43" s="41"/>
      <c r="C43" s="41"/>
      <c r="D43" s="41"/>
      <c r="E43" s="56"/>
      <c r="F43" s="63"/>
      <c r="G43" s="59">
        <f>(3.38003+9.702628+7.332598)*2.204622/60</f>
        <v>0.75013204188720006</v>
      </c>
      <c r="H43" s="60"/>
      <c r="I43" s="60"/>
      <c r="J43" s="60">
        <f>4.729137*2000/60</f>
        <v>157.6379</v>
      </c>
      <c r="K43" s="64"/>
      <c r="L43" s="59">
        <f>(32.219152+3161.333)*2.204622/60</f>
        <v>117.34292220744241</v>
      </c>
      <c r="M43" s="59"/>
      <c r="N43" s="60"/>
    </row>
    <row r="44" spans="1:73" ht="16.5" customHeight="1" x14ac:dyDescent="0.2">
      <c r="A44" s="38" t="s">
        <v>67</v>
      </c>
      <c r="B44" s="41"/>
      <c r="C44" s="41"/>
      <c r="D44" s="41"/>
      <c r="E44" s="56"/>
      <c r="F44" s="63"/>
      <c r="G44" s="59">
        <f>(1.66402+25.915482+8.047651)*2.204622/60</f>
        <v>1.3090734216861002</v>
      </c>
      <c r="H44" s="60"/>
      <c r="I44" s="60"/>
      <c r="J44" s="60">
        <f>5.385598*2000/60</f>
        <v>179.51993333333334</v>
      </c>
      <c r="K44" s="64"/>
      <c r="L44" s="59">
        <f>(36.320121+3644.11)*2.204622/60</f>
        <v>135.23262023698771</v>
      </c>
      <c r="M44" s="59"/>
      <c r="N44" s="60"/>
    </row>
    <row r="45" spans="1:73" ht="16.5" customHeight="1" x14ac:dyDescent="0.2">
      <c r="A45" s="37" t="s">
        <v>164</v>
      </c>
      <c r="B45" s="135"/>
      <c r="C45" s="135"/>
      <c r="D45" s="135"/>
      <c r="E45" s="135"/>
      <c r="F45" s="153">
        <f>F34</f>
        <v>4543.8829999999998</v>
      </c>
      <c r="G45" s="66">
        <f>G34+G38+G42+G43+G44</f>
        <v>13.013735331683101</v>
      </c>
      <c r="H45" s="137">
        <f>E34+F45+G45</f>
        <v>4995.0017353316825</v>
      </c>
      <c r="I45" s="163"/>
      <c r="J45" s="137">
        <f>J34+J38+J42+J43+J44</f>
        <v>1914.5176666666666</v>
      </c>
      <c r="K45" s="137">
        <f>K34+K38+K42</f>
        <v>311.69445959979794</v>
      </c>
      <c r="L45" s="66">
        <f>L34+L38+L42+L43+L44</f>
        <v>1566.4827793794082</v>
      </c>
      <c r="M45" s="66">
        <f t="shared" ref="M45" si="4">M34+M38+M42</f>
        <v>3202.9615298681092</v>
      </c>
      <c r="N45" s="135"/>
    </row>
    <row r="46" spans="1:73" ht="16.5" customHeight="1" x14ac:dyDescent="0.2">
      <c r="A46" s="67" t="s">
        <v>167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68"/>
      <c r="M46" s="41"/>
      <c r="N46" s="41"/>
    </row>
    <row r="47" spans="1:73" ht="16.5" customHeight="1" x14ac:dyDescent="0.2">
      <c r="A47" s="38" t="s">
        <v>124</v>
      </c>
      <c r="B47" s="38"/>
      <c r="C47" s="38"/>
      <c r="D47" s="38"/>
      <c r="E47" s="69"/>
      <c r="F47" s="69"/>
      <c r="G47" s="69"/>
      <c r="H47" s="69"/>
      <c r="I47" s="69"/>
      <c r="J47" s="69"/>
      <c r="K47" s="69"/>
      <c r="L47" s="69"/>
      <c r="M47" s="69"/>
      <c r="N47" s="69"/>
    </row>
    <row r="48" spans="1:73" ht="16.5" customHeight="1" x14ac:dyDescent="0.2">
      <c r="A48" s="70" t="s">
        <v>77</v>
      </c>
      <c r="B48" s="38"/>
      <c r="C48" s="38"/>
      <c r="D48" s="3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1:73" ht="16.5" customHeight="1" x14ac:dyDescent="0.2">
      <c r="A49" s="38" t="s">
        <v>26</v>
      </c>
      <c r="B49" s="71">
        <f ca="1">NOW()</f>
        <v>43724.400166319443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:73" x14ac:dyDescent="0.2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:7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:7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:73" x14ac:dyDescent="0.2">
      <c r="F53" s="15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:7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:7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:73" x14ac:dyDescent="0.2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:73" x14ac:dyDescent="0.2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:73" x14ac:dyDescent="0.2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:73" x14ac:dyDescent="0.2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:73" x14ac:dyDescent="0.2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:73" x14ac:dyDescent="0.2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:73" x14ac:dyDescent="0.2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:73" x14ac:dyDescent="0.2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:73" x14ac:dyDescent="0.2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  <row r="533" spans="15:73" x14ac:dyDescent="0.2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</row>
    <row r="534" spans="15:73" x14ac:dyDescent="0.2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</row>
    <row r="535" spans="15:73" x14ac:dyDescent="0.2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</row>
    <row r="536" spans="15:73" x14ac:dyDescent="0.2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</row>
    <row r="537" spans="15:73" x14ac:dyDescent="0.2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</row>
    <row r="538" spans="15:73" x14ac:dyDescent="0.2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</row>
    <row r="539" spans="15:73" x14ac:dyDescent="0.2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</row>
    <row r="540" spans="15:73" x14ac:dyDescent="0.2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</row>
    <row r="541" spans="15:73" x14ac:dyDescent="0.2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</row>
    <row r="542" spans="15:73" x14ac:dyDescent="0.2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</row>
    <row r="543" spans="15:73" x14ac:dyDescent="0.2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</row>
    <row r="544" spans="15:73" x14ac:dyDescent="0.2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</row>
    <row r="545" spans="15:73" x14ac:dyDescent="0.2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</row>
    <row r="546" spans="15:73" x14ac:dyDescent="0.2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</row>
  </sheetData>
  <dataConsolidate/>
  <phoneticPr fontId="3" type="noConversion"/>
  <pageMargins left="0.75" right="0.75" top="1" bottom="1" header="0.5" footer="0.5"/>
  <pageSetup scale="64" orientation="portrait" verticalDpi="300" r:id="rId1"/>
  <headerFooter alignWithMargins="0"/>
  <ignoredErrors>
    <ignoredError sqref="K34 K27 K15 K38 K42 K45:L45 K23 K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5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7109375" customWidth="1"/>
    <col min="3" max="3" width="10.7109375" customWidth="1"/>
    <col min="4" max="4" width="7.7109375" customWidth="1"/>
    <col min="5" max="5" width="10.7109375" customWidth="1"/>
    <col min="6" max="6" width="1.7109375" customWidth="1"/>
    <col min="7" max="10" width="10.7109375" customWidth="1"/>
    <col min="11" max="11" width="7.7109375" customWidth="1"/>
  </cols>
  <sheetData>
    <row r="1" spans="1:12" ht="14.25" x14ac:dyDescent="0.2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4.25" x14ac:dyDescent="0.2">
      <c r="A2" s="38"/>
      <c r="B2" s="175" t="s">
        <v>0</v>
      </c>
      <c r="C2" s="175"/>
      <c r="D2" s="175"/>
      <c r="E2" s="175"/>
      <c r="F2" s="41"/>
      <c r="G2" s="175" t="s">
        <v>24</v>
      </c>
      <c r="H2" s="175"/>
      <c r="I2" s="175"/>
      <c r="J2" s="38"/>
    </row>
    <row r="3" spans="1:12" ht="14.25" x14ac:dyDescent="0.2">
      <c r="A3" s="38" t="s">
        <v>83</v>
      </c>
      <c r="B3" s="40" t="s">
        <v>8</v>
      </c>
      <c r="C3" s="42"/>
      <c r="D3" s="42"/>
      <c r="E3" s="42"/>
      <c r="F3" s="42"/>
      <c r="G3" s="42"/>
      <c r="H3" s="42"/>
      <c r="I3" s="42"/>
      <c r="J3" s="40" t="s">
        <v>34</v>
      </c>
    </row>
    <row r="4" spans="1:12" ht="14.25" x14ac:dyDescent="0.2">
      <c r="A4" s="43" t="s">
        <v>84</v>
      </c>
      <c r="B4" s="45" t="s">
        <v>33</v>
      </c>
      <c r="C4" s="45" t="s">
        <v>1</v>
      </c>
      <c r="D4" s="45" t="s">
        <v>2</v>
      </c>
      <c r="E4" s="47" t="s">
        <v>32</v>
      </c>
      <c r="F4" s="46"/>
      <c r="G4" s="45" t="s">
        <v>35</v>
      </c>
      <c r="H4" s="45" t="s">
        <v>31</v>
      </c>
      <c r="I4" s="45" t="s">
        <v>32</v>
      </c>
      <c r="J4" s="45" t="s">
        <v>95</v>
      </c>
    </row>
    <row r="5" spans="1:12" ht="14.25" x14ac:dyDescent="0.2">
      <c r="A5" s="38"/>
      <c r="B5" s="176" t="s">
        <v>103</v>
      </c>
      <c r="C5" s="176"/>
      <c r="D5" s="176"/>
      <c r="E5" s="176"/>
      <c r="F5" s="176"/>
      <c r="G5" s="176"/>
      <c r="H5" s="176"/>
      <c r="I5" s="176"/>
      <c r="J5" s="176"/>
    </row>
    <row r="6" spans="1:12" ht="16.5" x14ac:dyDescent="0.2">
      <c r="A6" s="38" t="s">
        <v>139</v>
      </c>
      <c r="B6" s="72">
        <v>400.63</v>
      </c>
      <c r="C6" s="73">
        <f>C23</f>
        <v>49225.606000000007</v>
      </c>
      <c r="D6" s="73">
        <f>D23</f>
        <v>482.79358673947797</v>
      </c>
      <c r="E6" s="52">
        <f t="shared" ref="E6:E8" si="0">SUM(B6:D6)</f>
        <v>50109.029586739482</v>
      </c>
      <c r="F6" s="73"/>
      <c r="G6" s="73">
        <f t="shared" ref="G6:G8" si="1">I6-H6</f>
        <v>35496.563356288301</v>
      </c>
      <c r="H6" s="73">
        <v>14057.042230451181</v>
      </c>
      <c r="I6" s="73">
        <f t="shared" ref="I6:I8" si="2">E6-J6</f>
        <v>49553.605586739483</v>
      </c>
      <c r="J6" s="73">
        <v>555.42399999999998</v>
      </c>
    </row>
    <row r="7" spans="1:12" ht="16.5" x14ac:dyDescent="0.2">
      <c r="A7" s="38" t="s">
        <v>162</v>
      </c>
      <c r="B7" s="72">
        <v>555.42399999999998</v>
      </c>
      <c r="C7" s="73">
        <v>48845</v>
      </c>
      <c r="D7" s="73">
        <v>700</v>
      </c>
      <c r="E7" s="52">
        <f t="shared" si="0"/>
        <v>50100.423999999999</v>
      </c>
      <c r="F7" s="73"/>
      <c r="G7" s="73">
        <f t="shared" si="1"/>
        <v>35900.423999999999</v>
      </c>
      <c r="H7" s="73">
        <v>13750</v>
      </c>
      <c r="I7" s="73">
        <f t="shared" si="2"/>
        <v>49650.423999999999</v>
      </c>
      <c r="J7" s="73">
        <v>450</v>
      </c>
    </row>
    <row r="8" spans="1:12" ht="16.5" x14ac:dyDescent="0.2">
      <c r="A8" s="38" t="s">
        <v>170</v>
      </c>
      <c r="B8" s="72">
        <v>450</v>
      </c>
      <c r="C8" s="73">
        <v>49650</v>
      </c>
      <c r="D8" s="73">
        <v>500</v>
      </c>
      <c r="E8" s="52">
        <f t="shared" si="0"/>
        <v>50600</v>
      </c>
      <c r="F8" s="73"/>
      <c r="G8" s="73">
        <f t="shared" si="1"/>
        <v>36500</v>
      </c>
      <c r="H8" s="73">
        <v>13700</v>
      </c>
      <c r="I8" s="73">
        <f t="shared" si="2"/>
        <v>50200</v>
      </c>
      <c r="J8" s="73">
        <v>400</v>
      </c>
    </row>
    <row r="9" spans="1:12" ht="14.25" x14ac:dyDescent="0.2">
      <c r="A9" s="38"/>
      <c r="B9" s="74"/>
      <c r="C9" s="74"/>
      <c r="D9" s="74"/>
      <c r="E9" s="74"/>
      <c r="F9" s="74"/>
      <c r="G9" s="74"/>
      <c r="H9" s="74"/>
      <c r="I9" s="74"/>
      <c r="J9" s="74"/>
    </row>
    <row r="10" spans="1:12" ht="15.75" x14ac:dyDescent="0.25">
      <c r="A10" s="38" t="s">
        <v>119</v>
      </c>
      <c r="B10" s="74"/>
      <c r="C10" s="59"/>
      <c r="D10" s="59"/>
      <c r="E10" s="59"/>
      <c r="F10" s="75"/>
      <c r="G10" s="59"/>
      <c r="H10" s="59"/>
      <c r="I10" s="59"/>
      <c r="J10" s="75"/>
      <c r="K10" s="21"/>
      <c r="L10" s="21"/>
    </row>
    <row r="11" spans="1:12" ht="15.75" x14ac:dyDescent="0.25">
      <c r="A11" s="41" t="s">
        <v>57</v>
      </c>
      <c r="B11" s="76">
        <v>400.63</v>
      </c>
      <c r="C11" s="59">
        <f>3847.77+276.055</f>
        <v>4123.8249999999998</v>
      </c>
      <c r="D11" s="59">
        <f>(22847.236+3583+112.237+227.84)*2.204622/2000</f>
        <v>29.509210493343002</v>
      </c>
      <c r="E11" s="59">
        <f t="shared" ref="E11:E16" si="3">SUM(B11:D11)</f>
        <v>4553.9642104933428</v>
      </c>
      <c r="F11" s="75"/>
      <c r="G11" s="77">
        <f t="shared" ref="G11:G16" si="4">I11-H11</f>
        <v>3378.2291726851877</v>
      </c>
      <c r="H11" s="59">
        <f>((600.609231+9.196+100.005374))*(2.204622/2)</f>
        <v>782.43203780815509</v>
      </c>
      <c r="I11" s="75">
        <f>E11-J11</f>
        <v>4160.6612104933429</v>
      </c>
      <c r="J11" s="59">
        <f>350.935+42.368</f>
        <v>393.303</v>
      </c>
      <c r="K11" s="21"/>
      <c r="L11" s="21"/>
    </row>
    <row r="12" spans="1:12" ht="15.75" x14ac:dyDescent="0.25">
      <c r="A12" s="41" t="s">
        <v>58</v>
      </c>
      <c r="B12" s="76">
        <f>J11</f>
        <v>393.303</v>
      </c>
      <c r="C12" s="59">
        <f>3829.14+272.552</f>
        <v>4101.692</v>
      </c>
      <c r="D12" s="59">
        <f>(24089.253+4366+138.856+88.687)*2.204622/2000</f>
        <v>31.617361541556004</v>
      </c>
      <c r="E12" s="59">
        <f t="shared" si="3"/>
        <v>4526.6123615415563</v>
      </c>
      <c r="F12" s="75"/>
      <c r="G12" s="77">
        <f t="shared" si="4"/>
        <v>3025.3476751154071</v>
      </c>
      <c r="H12" s="59">
        <f>((803.813698+9.59+195.528161))*(2.204622/2)</f>
        <v>1112.156686426149</v>
      </c>
      <c r="I12" s="75">
        <f t="shared" ref="I12:I17" si="5">E12-J12</f>
        <v>4137.5043615415561</v>
      </c>
      <c r="J12" s="59">
        <f>354.998+34.11</f>
        <v>389.108</v>
      </c>
      <c r="K12" s="21"/>
      <c r="L12" s="21"/>
    </row>
    <row r="13" spans="1:12" ht="15.75" x14ac:dyDescent="0.25">
      <c r="A13" s="41" t="s">
        <v>59</v>
      </c>
      <c r="B13" s="76">
        <f t="shared" ref="B13:B18" si="6">J12</f>
        <v>389.108</v>
      </c>
      <c r="C13" s="59">
        <f>3904.161+268.856</f>
        <v>4173.0169999999998</v>
      </c>
      <c r="D13" s="59">
        <f>(24386.897+4370+327.365+22.939)*2.204622/2000</f>
        <v>32.085187841511001</v>
      </c>
      <c r="E13" s="59">
        <f t="shared" si="3"/>
        <v>4594.2101878415106</v>
      </c>
      <c r="F13" s="75"/>
      <c r="G13" s="77">
        <f t="shared" si="4"/>
        <v>2858.1368113752765</v>
      </c>
      <c r="H13" s="59">
        <f>((823.191747+4.499+243.868347))*(2.204622/2)</f>
        <v>1181.191376466234</v>
      </c>
      <c r="I13" s="75">
        <f t="shared" si="5"/>
        <v>4039.3281878415105</v>
      </c>
      <c r="J13" s="59">
        <f>506.203+48.679</f>
        <v>554.88199999999995</v>
      </c>
      <c r="K13" s="21"/>
      <c r="L13" s="21"/>
    </row>
    <row r="14" spans="1:12" ht="15.75" x14ac:dyDescent="0.25">
      <c r="A14" s="41" t="s">
        <v>60</v>
      </c>
      <c r="B14" s="76">
        <f t="shared" si="6"/>
        <v>554.88199999999995</v>
      </c>
      <c r="C14" s="59">
        <f>3859.849+268.466</f>
        <v>4128.3150000000005</v>
      </c>
      <c r="D14" s="59">
        <f>(36957.472+5397+529.766+155.003)*2.204622/2000</f>
        <v>47.442628785951008</v>
      </c>
      <c r="E14" s="59">
        <f t="shared" si="3"/>
        <v>4730.6396287859516</v>
      </c>
      <c r="F14" s="75"/>
      <c r="G14" s="77">
        <f t="shared" si="4"/>
        <v>3142.7943669256811</v>
      </c>
      <c r="H14" s="59">
        <f>((962.901815+8.332+97.279755))*(2.204622/2)</f>
        <v>1177.8342618602701</v>
      </c>
      <c r="I14" s="75">
        <f t="shared" si="5"/>
        <v>4320.6286287859512</v>
      </c>
      <c r="J14" s="59">
        <f>379.359+30.652</f>
        <v>410.01099999999997</v>
      </c>
      <c r="K14" s="21"/>
      <c r="L14" s="21"/>
    </row>
    <row r="15" spans="1:12" ht="15.75" x14ac:dyDescent="0.25">
      <c r="A15" s="41" t="s">
        <v>61</v>
      </c>
      <c r="B15" s="76">
        <f t="shared" si="6"/>
        <v>410.01099999999997</v>
      </c>
      <c r="C15" s="59">
        <f>3651.786+247.786</f>
        <v>3899.5720000000001</v>
      </c>
      <c r="D15" s="59">
        <f>(38674.078+4680+268.165+52.191)*2.204622/2000</f>
        <v>48.142809016974006</v>
      </c>
      <c r="E15" s="59">
        <f t="shared" si="3"/>
        <v>4357.7258090169744</v>
      </c>
      <c r="F15" s="75"/>
      <c r="G15" s="77">
        <f t="shared" si="4"/>
        <v>2661.1986865177173</v>
      </c>
      <c r="H15" s="59">
        <f>((925.512124+11.234+188.830163))*(2.204622/2)</f>
        <v>1240.7351224992572</v>
      </c>
      <c r="I15" s="75">
        <f t="shared" si="5"/>
        <v>3901.9338090169745</v>
      </c>
      <c r="J15" s="59">
        <f>415.077+40.715</f>
        <v>455.79200000000003</v>
      </c>
      <c r="K15" s="21"/>
      <c r="L15" s="21"/>
    </row>
    <row r="16" spans="1:12" ht="15.75" x14ac:dyDescent="0.25">
      <c r="A16" s="41" t="s">
        <v>62</v>
      </c>
      <c r="B16" s="76">
        <f t="shared" si="6"/>
        <v>455.79200000000003</v>
      </c>
      <c r="C16" s="59">
        <f>4029.272+277.277</f>
        <v>4306.549</v>
      </c>
      <c r="D16" s="59">
        <f>(44281.365+4613+552.284+45.659)*2.204622/2000</f>
        <v>54.555915523787995</v>
      </c>
      <c r="E16" s="59">
        <f t="shared" si="3"/>
        <v>4816.8969155237883</v>
      </c>
      <c r="F16" s="75"/>
      <c r="G16" s="77">
        <f t="shared" si="4"/>
        <v>2941.8087154208074</v>
      </c>
      <c r="H16" s="59">
        <f>((1012.284931+8.669+186.41604))*(2.204622/2)</f>
        <v>1330.8972001029811</v>
      </c>
      <c r="I16" s="75">
        <f t="shared" si="5"/>
        <v>4272.7059155237885</v>
      </c>
      <c r="J16" s="59">
        <f>492.224+51.967</f>
        <v>544.19100000000003</v>
      </c>
      <c r="K16" s="21"/>
      <c r="L16" s="21"/>
    </row>
    <row r="17" spans="1:12" ht="15.75" x14ac:dyDescent="0.25">
      <c r="A17" s="41" t="s">
        <v>63</v>
      </c>
      <c r="B17" s="76">
        <f t="shared" si="6"/>
        <v>544.19100000000003</v>
      </c>
      <c r="C17" s="59">
        <f>3822.338+257.585</f>
        <v>4079.9230000000002</v>
      </c>
      <c r="D17" s="59">
        <f>(28037.557+5480+746.07+92.753)*2.204622/2000</f>
        <v>37.87141559418</v>
      </c>
      <c r="E17" s="59">
        <f t="shared" ref="E17:E22" si="7">SUM(B17:D17)</f>
        <v>4661.9854155941803</v>
      </c>
      <c r="F17" s="75"/>
      <c r="G17" s="77">
        <f t="shared" ref="G17:G22" si="8">I17-H17</f>
        <v>2991.2704254616519</v>
      </c>
      <c r="H17" s="59">
        <f>((841.816034+12.376+251.293614))*(2.204622/2)</f>
        <v>1218.5889901325279</v>
      </c>
      <c r="I17" s="75">
        <f t="shared" si="5"/>
        <v>4209.8594155941801</v>
      </c>
      <c r="J17" s="59">
        <f>404.468+47.658</f>
        <v>452.12600000000003</v>
      </c>
      <c r="K17" s="21"/>
      <c r="L17" s="21"/>
    </row>
    <row r="18" spans="1:12" ht="15.75" x14ac:dyDescent="0.25">
      <c r="A18" s="41" t="s">
        <v>64</v>
      </c>
      <c r="B18" s="76">
        <f t="shared" si="6"/>
        <v>452.12600000000003</v>
      </c>
      <c r="C18" s="59">
        <f>3846.687+262.574</f>
        <v>4109.2609999999995</v>
      </c>
      <c r="D18" s="59">
        <f>(30309.76+5213+999.903+277.738)*2.204622/2000</f>
        <v>40.565486826710995</v>
      </c>
      <c r="E18" s="59">
        <f t="shared" si="7"/>
        <v>4601.9524868267108</v>
      </c>
      <c r="F18" s="75"/>
      <c r="G18" s="77">
        <f t="shared" si="8"/>
        <v>2889.4588105000275</v>
      </c>
      <c r="H18" s="59">
        <f>((881.446902+14.35+264.825351))*(2.204622/2)</f>
        <v>1279.3666763266831</v>
      </c>
      <c r="I18" s="75">
        <f>E18-J18</f>
        <v>4168.8254868267104</v>
      </c>
      <c r="J18" s="59">
        <f>391.812+41.315</f>
        <v>433.12700000000001</v>
      </c>
      <c r="K18" s="21"/>
      <c r="L18" s="21"/>
    </row>
    <row r="19" spans="1:12" ht="15.75" x14ac:dyDescent="0.25">
      <c r="A19" s="41" t="s">
        <v>65</v>
      </c>
      <c r="B19" s="76">
        <f>J18</f>
        <v>433.12700000000001</v>
      </c>
      <c r="C19" s="59">
        <f>3778.127+254.192</f>
        <v>4032.319</v>
      </c>
      <c r="D19" s="59">
        <f>(32262.637+4424+601.309+347.659)*2.204622/2000</f>
        <v>41.486141383155001</v>
      </c>
      <c r="E19" s="59">
        <f t="shared" si="7"/>
        <v>4506.9321413831549</v>
      </c>
      <c r="F19" s="75"/>
      <c r="G19" s="77">
        <f t="shared" si="8"/>
        <v>2726.1042038049382</v>
      </c>
      <c r="H19" s="59">
        <f>((943.672871+13.178+297.149985))*(2.204622/2)</f>
        <v>1382.2989375782163</v>
      </c>
      <c r="I19" s="75">
        <f>E19-J19</f>
        <v>4108.4031413831544</v>
      </c>
      <c r="J19" s="59">
        <f>359.823+38.706</f>
        <v>398.529</v>
      </c>
      <c r="K19" s="21"/>
      <c r="L19" s="21"/>
    </row>
    <row r="20" spans="1:12" ht="15.75" x14ac:dyDescent="0.25">
      <c r="A20" s="41" t="s">
        <v>67</v>
      </c>
      <c r="B20" s="76">
        <f>J19</f>
        <v>398.529</v>
      </c>
      <c r="C20" s="59">
        <f>3979.12+265.562</f>
        <v>4244.6819999999998</v>
      </c>
      <c r="D20" s="59">
        <f>(25855.193+9513+404.699+474.826)*2.204622/2000</f>
        <v>39.956258276298001</v>
      </c>
      <c r="E20" s="59">
        <f t="shared" si="7"/>
        <v>4683.1672582762976</v>
      </c>
      <c r="F20" s="75"/>
      <c r="G20" s="77">
        <f t="shared" si="8"/>
        <v>3100.3295650067312</v>
      </c>
      <c r="H20" s="59">
        <f>((706.045243+16.308+248.705463))*(2.204622/2)</f>
        <v>1070.4086932695661</v>
      </c>
      <c r="I20" s="75">
        <f>E20-J20</f>
        <v>4170.7382582762975</v>
      </c>
      <c r="J20" s="59">
        <f>462.35+50.079</f>
        <v>512.42899999999997</v>
      </c>
      <c r="K20" s="21"/>
      <c r="L20" s="21"/>
    </row>
    <row r="21" spans="1:12" ht="15.75" x14ac:dyDescent="0.25">
      <c r="A21" s="41" t="s">
        <v>68</v>
      </c>
      <c r="B21" s="76">
        <f>J20</f>
        <v>512.42899999999997</v>
      </c>
      <c r="C21" s="59">
        <f>3771.727+259.078</f>
        <v>4030.8049999999998</v>
      </c>
      <c r="D21" s="59">
        <f>(30866.896+9793+380.962+375.799)*2.204622/2000</f>
        <v>45.654036594327003</v>
      </c>
      <c r="E21" s="59">
        <f t="shared" si="7"/>
        <v>4588.8880365943269</v>
      </c>
      <c r="F21" s="75"/>
      <c r="G21" s="77">
        <f t="shared" si="8"/>
        <v>2985.600190398573</v>
      </c>
      <c r="H21" s="59">
        <f>((861.810146+14.552+214.287268))*(2.204622/2)</f>
        <v>1202.234846195754</v>
      </c>
      <c r="I21" s="75">
        <f>E21-J21</f>
        <v>4187.835036594327</v>
      </c>
      <c r="J21" s="59">
        <f>359.936+41.117</f>
        <v>401.053</v>
      </c>
      <c r="K21" s="21"/>
      <c r="L21" s="21"/>
    </row>
    <row r="22" spans="1:12" ht="15.75" x14ac:dyDescent="0.25">
      <c r="A22" s="41" t="s">
        <v>70</v>
      </c>
      <c r="B22" s="76">
        <f>J21</f>
        <v>401.053</v>
      </c>
      <c r="C22" s="59">
        <f>3740.681+254.965</f>
        <v>3995.6460000000002</v>
      </c>
      <c r="D22" s="59">
        <f>(21495.643+7904+984.314+376.087)*2.204622/2000</f>
        <v>33.907134861684</v>
      </c>
      <c r="E22" s="59">
        <f t="shared" si="7"/>
        <v>4430.606134861685</v>
      </c>
      <c r="F22" s="75"/>
      <c r="G22" s="77">
        <f t="shared" si="8"/>
        <v>2837.1878709900429</v>
      </c>
      <c r="H22" s="59">
        <f>((712.205638+16.362+213.085184))*(2.204622/2)</f>
        <v>1037.994263871642</v>
      </c>
      <c r="I22" s="75">
        <f>E22-J22</f>
        <v>3875.182134861685</v>
      </c>
      <c r="J22" s="59">
        <f>501.299+54.125</f>
        <v>555.42399999999998</v>
      </c>
      <c r="K22" s="21"/>
      <c r="L22" s="21"/>
    </row>
    <row r="23" spans="1:12" ht="15.75" x14ac:dyDescent="0.25">
      <c r="A23" s="41" t="s">
        <v>3</v>
      </c>
      <c r="B23" s="76"/>
      <c r="C23" s="59">
        <f>SUM(C11:C22)</f>
        <v>49225.606000000007</v>
      </c>
      <c r="D23" s="59">
        <f>SUM(D11:D22)</f>
        <v>482.79358673947797</v>
      </c>
      <c r="E23" s="59">
        <f>B11+C23+D23</f>
        <v>50109.029586739482</v>
      </c>
      <c r="F23" s="59"/>
      <c r="G23" s="59">
        <f>SUM(G11:G22)</f>
        <v>35537.466494202046</v>
      </c>
      <c r="H23" s="59">
        <f>SUM(H11:H22)</f>
        <v>14016.139092537436</v>
      </c>
      <c r="I23" s="59">
        <f>SUM(I11:I22)</f>
        <v>49553.605586739475</v>
      </c>
      <c r="J23" s="59"/>
      <c r="K23" s="21"/>
      <c r="L23" s="21"/>
    </row>
    <row r="24" spans="1:12" ht="14.25" x14ac:dyDescent="0.2">
      <c r="A24" s="41"/>
      <c r="B24" s="76"/>
      <c r="C24" s="59"/>
      <c r="D24" s="59"/>
      <c r="E24" s="59"/>
      <c r="F24" s="59"/>
      <c r="G24" s="59"/>
      <c r="H24" s="59"/>
      <c r="I24" s="59"/>
      <c r="J24" s="59"/>
    </row>
    <row r="25" spans="1:12" ht="15.75" x14ac:dyDescent="0.25">
      <c r="A25" s="41" t="s">
        <v>163</v>
      </c>
      <c r="B25" s="76"/>
      <c r="C25" s="59"/>
      <c r="D25" s="59"/>
      <c r="E25" s="59"/>
      <c r="F25" s="59"/>
      <c r="G25" s="59"/>
      <c r="H25" s="59"/>
      <c r="I25" s="59"/>
      <c r="J25" s="59"/>
      <c r="K25" s="21"/>
      <c r="L25" s="21"/>
    </row>
    <row r="26" spans="1:12" ht="15.75" x14ac:dyDescent="0.25">
      <c r="A26" s="41" t="s">
        <v>57</v>
      </c>
      <c r="B26" s="76">
        <f>J22</f>
        <v>555.42399999999998</v>
      </c>
      <c r="C26" s="59">
        <f>4020.038+270.986</f>
        <v>4291.0240000000003</v>
      </c>
      <c r="D26" s="59">
        <f>(38895.341+8534+588.568+342.761)*2.204622/2000</f>
        <v>53.30849850837</v>
      </c>
      <c r="E26" s="59">
        <f>SUM(B26:D26)</f>
        <v>4899.75649850837</v>
      </c>
      <c r="F26" s="75"/>
      <c r="G26" s="77">
        <f>I26-H26</f>
        <v>3348.3661517904311</v>
      </c>
      <c r="H26" s="77">
        <f>((776.408731+6.862+220.547018))*(2.204622/2)</f>
        <v>1106.519346717939</v>
      </c>
      <c r="I26" s="75">
        <f>E26-J26</f>
        <v>4454.8854985083699</v>
      </c>
      <c r="J26" s="59">
        <f>399.414+45.457</f>
        <v>444.87099999999998</v>
      </c>
      <c r="K26" s="21"/>
      <c r="L26" s="21"/>
    </row>
    <row r="27" spans="1:12" ht="15.75" x14ac:dyDescent="0.25">
      <c r="A27" s="41" t="s">
        <v>58</v>
      </c>
      <c r="B27" s="76">
        <f>J26</f>
        <v>444.87099999999998</v>
      </c>
      <c r="C27" s="59">
        <f>3889.342+265.758</f>
        <v>4155.1000000000004</v>
      </c>
      <c r="D27" s="59">
        <f>(29367.714+4604+554.38+256.525)*2.204622/2000</f>
        <v>38.341263532509004</v>
      </c>
      <c r="E27" s="59">
        <f>SUM(B27:D27)</f>
        <v>4638.3122635325099</v>
      </c>
      <c r="F27" s="59"/>
      <c r="G27" s="77">
        <f>I27-H27</f>
        <v>3149.3935899207918</v>
      </c>
      <c r="H27" s="77">
        <f>((785.170511+14.219+247.015427))*(2.204622/2)</f>
        <v>1153.4636736117181</v>
      </c>
      <c r="I27" s="75">
        <f>E27-J27</f>
        <v>4302.8572635325099</v>
      </c>
      <c r="J27" s="59">
        <f>294.996+40.459</f>
        <v>335.45499999999998</v>
      </c>
      <c r="K27" s="21"/>
      <c r="L27" s="21"/>
    </row>
    <row r="28" spans="1:12" ht="15.75" x14ac:dyDescent="0.25">
      <c r="A28" s="41" t="s">
        <v>59</v>
      </c>
      <c r="B28" s="76">
        <f t="shared" ref="B28:B32" si="9">J27</f>
        <v>335.45499999999998</v>
      </c>
      <c r="C28" s="59">
        <f>4016.547+279.141</f>
        <v>4295.6880000000001</v>
      </c>
      <c r="D28" s="59">
        <f>(42910.147+10294+518.4+271.062)*2.204622/2000</f>
        <v>59.517749130398997</v>
      </c>
      <c r="E28" s="59">
        <f>SUM(B28:D28)</f>
        <v>4690.6607491303994</v>
      </c>
      <c r="F28" s="59"/>
      <c r="G28" s="77">
        <f>I28-H28</f>
        <v>3107.3150045094517</v>
      </c>
      <c r="H28" s="77">
        <f>((818.064035+20.76+202.841833))*(2.204622/2)</f>
        <v>1148.2397446209482</v>
      </c>
      <c r="I28" s="75">
        <f>E28-J28</f>
        <v>4255.5547491303996</v>
      </c>
      <c r="J28" s="77">
        <f>394.444+40.662</f>
        <v>435.10599999999999</v>
      </c>
      <c r="K28" s="21"/>
      <c r="L28" s="21"/>
    </row>
    <row r="29" spans="1:12" ht="15.75" x14ac:dyDescent="0.25">
      <c r="A29" s="41" t="s">
        <v>60</v>
      </c>
      <c r="B29" s="76">
        <f t="shared" si="9"/>
        <v>435.10599999999999</v>
      </c>
      <c r="C29" s="59">
        <f>3988.737+280.766</f>
        <v>4269.5029999999997</v>
      </c>
      <c r="D29" s="59">
        <f>(51173.6+5010+707.464+348.119)*2.204622/2000</f>
        <v>63.095381051913002</v>
      </c>
      <c r="E29" s="59">
        <f>SUM(B29:D29)</f>
        <v>4767.7043810519126</v>
      </c>
      <c r="F29" s="59"/>
      <c r="G29" s="77">
        <f>I29-H29</f>
        <v>2820.1101323920802</v>
      </c>
      <c r="H29" s="77">
        <f>((1043.006958+38.887+304.097154))*(2.204622/2)</f>
        <v>1527.793248659832</v>
      </c>
      <c r="I29" s="75">
        <f>E29-J29</f>
        <v>4347.9033810519122</v>
      </c>
      <c r="J29" s="77">
        <f>380.224+39.577</f>
        <v>419.80099999999999</v>
      </c>
      <c r="K29" s="21"/>
      <c r="L29" s="21"/>
    </row>
    <row r="30" spans="1:12" ht="15.75" x14ac:dyDescent="0.25">
      <c r="A30" s="41" t="s">
        <v>61</v>
      </c>
      <c r="B30" s="76">
        <f t="shared" si="9"/>
        <v>419.80099999999999</v>
      </c>
      <c r="C30" s="59">
        <f>3583.222+253.395</f>
        <v>3836.6170000000002</v>
      </c>
      <c r="D30" s="59">
        <f>(47749.769+5105+263.079+425.819)*2.204622/2000</f>
        <v>59.021773114437003</v>
      </c>
      <c r="E30" s="59">
        <f>SUM(B30:D30)</f>
        <v>4315.4397731144372</v>
      </c>
      <c r="F30" s="59"/>
      <c r="G30" s="77">
        <f>I30-H30</f>
        <v>2922.4511532268561</v>
      </c>
      <c r="H30" s="77">
        <f>((787.403738+7.924+200.860833))*(2.204622/2)</f>
        <v>1098.1096198875809</v>
      </c>
      <c r="I30" s="75">
        <f t="shared" ref="I30:I35" si="10">E30-J30</f>
        <v>4020.5607731144373</v>
      </c>
      <c r="J30" s="77">
        <f>263.515+31.364</f>
        <v>294.87899999999996</v>
      </c>
      <c r="K30" s="21"/>
      <c r="L30" s="21"/>
    </row>
    <row r="31" spans="1:12" ht="15.75" x14ac:dyDescent="0.25">
      <c r="A31" s="41" t="s">
        <v>62</v>
      </c>
      <c r="B31" s="76">
        <f t="shared" si="9"/>
        <v>294.87899999999996</v>
      </c>
      <c r="C31" s="59">
        <f>3926.558+274.26</f>
        <v>4200.8180000000002</v>
      </c>
      <c r="D31" s="59">
        <f>(61699.469+4364+411.923+224.341)*2.204622/2000</f>
        <v>73.523849382962993</v>
      </c>
      <c r="E31" s="59">
        <f t="shared" ref="E31:E32" si="11">SUM(B31:D31)</f>
        <v>4569.220849382963</v>
      </c>
      <c r="F31" s="75"/>
      <c r="G31" s="77">
        <f t="shared" ref="G31:G32" si="12">I31-H31</f>
        <v>2881.8443252468242</v>
      </c>
      <c r="H31" s="59">
        <f>((763.932135+5.972+298.109814))*(2.204622/2)</f>
        <v>1177.283524136139</v>
      </c>
      <c r="I31" s="75">
        <f t="shared" si="10"/>
        <v>4059.1278493829632</v>
      </c>
      <c r="J31" s="77">
        <f>465.159+44.934</f>
        <v>510.09299999999996</v>
      </c>
      <c r="K31" s="21"/>
      <c r="L31" s="21"/>
    </row>
    <row r="32" spans="1:12" ht="15.75" x14ac:dyDescent="0.25">
      <c r="A32" s="41" t="s">
        <v>63</v>
      </c>
      <c r="B32" s="76">
        <f t="shared" si="9"/>
        <v>510.09299999999996</v>
      </c>
      <c r="C32" s="59">
        <f>3763.527+259.021</f>
        <v>4022.5480000000002</v>
      </c>
      <c r="D32" s="59">
        <f>(62488.686+4677+258.217+254.463)*2.204622/2000</f>
        <v>74.602607303826005</v>
      </c>
      <c r="E32" s="59">
        <f t="shared" si="11"/>
        <v>4607.2436073038261</v>
      </c>
      <c r="F32" s="75"/>
      <c r="G32" s="77">
        <f t="shared" si="12"/>
        <v>2821.810765308217</v>
      </c>
      <c r="H32" s="59">
        <f>((1007.701411+13.354+249.239308))*(2.204622/2)</f>
        <v>1400.2598419956091</v>
      </c>
      <c r="I32" s="75">
        <f t="shared" si="10"/>
        <v>4222.0706073038264</v>
      </c>
      <c r="J32" s="77">
        <f>337.326+47.847</f>
        <v>385.173</v>
      </c>
      <c r="K32" s="21"/>
      <c r="L32" s="21"/>
    </row>
    <row r="33" spans="1:12" ht="15.75" x14ac:dyDescent="0.25">
      <c r="A33" s="41" t="s">
        <v>64</v>
      </c>
      <c r="B33" s="76">
        <f t="shared" ref="B33:B34" si="13">J32</f>
        <v>385.173</v>
      </c>
      <c r="C33" s="59">
        <f>3660.325+249.227</f>
        <v>3909.5519999999997</v>
      </c>
      <c r="D33" s="59">
        <f>(57739.395+3870+130.583+721.919)*2.204622/2000</f>
        <v>68.852436143966997</v>
      </c>
      <c r="E33" s="59">
        <f t="shared" ref="E33" si="14">SUM(B33:D33)</f>
        <v>4363.5774361439662</v>
      </c>
      <c r="F33" s="75"/>
      <c r="G33" s="77">
        <f t="shared" ref="G33" si="15">I33-H33</f>
        <v>2930.8773870523009</v>
      </c>
      <c r="H33" s="59">
        <f>((819.428144+11.935+185.223871))*(2.204622/2)</f>
        <v>1120.595049091665</v>
      </c>
      <c r="I33" s="75">
        <f t="shared" si="10"/>
        <v>4051.4724361439662</v>
      </c>
      <c r="J33" s="77">
        <f>276.276+35.829</f>
        <v>312.10500000000002</v>
      </c>
      <c r="K33" s="21"/>
      <c r="L33" s="21"/>
    </row>
    <row r="34" spans="1:12" ht="15.75" x14ac:dyDescent="0.25">
      <c r="A34" s="41" t="s">
        <v>65</v>
      </c>
      <c r="B34" s="76">
        <f t="shared" si="13"/>
        <v>312.10500000000002</v>
      </c>
      <c r="C34" s="59">
        <f>3453.178+243.145</f>
        <v>3696.3229999999999</v>
      </c>
      <c r="D34" s="59">
        <f>(35949.489+2516+112.11+336.226)*2.204622/2000</f>
        <v>42.895137349575009</v>
      </c>
      <c r="E34" s="59">
        <f t="shared" ref="E34:E35" si="16">SUM(B34:D34)</f>
        <v>4051.3231373495751</v>
      </c>
      <c r="F34" s="75"/>
      <c r="G34" s="77">
        <f t="shared" ref="G34:G35" si="17">I34-H34</f>
        <v>2720.5046007899409</v>
      </c>
      <c r="H34" s="59">
        <f>((593.573569+8.497+220.167925))*(2.204622/2)</f>
        <v>906.36253655963401</v>
      </c>
      <c r="I34" s="75">
        <f t="shared" si="10"/>
        <v>3626.8671373495749</v>
      </c>
      <c r="J34" s="77">
        <f>376.025+48.431</f>
        <v>424.45599999999996</v>
      </c>
      <c r="K34" s="21"/>
      <c r="L34" s="21"/>
    </row>
    <row r="35" spans="1:12" ht="15.75" x14ac:dyDescent="0.25">
      <c r="A35" s="41" t="s">
        <v>67</v>
      </c>
      <c r="B35" s="76">
        <f t="shared" ref="B35" si="18">J34</f>
        <v>424.45599999999996</v>
      </c>
      <c r="C35" s="59">
        <f>3918.708+267.367</f>
        <v>4186.0749999999998</v>
      </c>
      <c r="D35" s="59">
        <f>(44365.407+4772+199.564+145.516)*2.204622/2000</f>
        <v>54.545089727457004</v>
      </c>
      <c r="E35" s="59">
        <f t="shared" si="16"/>
        <v>4665.0760897274567</v>
      </c>
      <c r="F35" s="75"/>
      <c r="G35" s="77">
        <f t="shared" si="17"/>
        <v>3373.1520299377908</v>
      </c>
      <c r="H35" s="59">
        <f>((716.627482+22.068+84.962324))*(2.204622/2)</f>
        <v>907.92705978966592</v>
      </c>
      <c r="I35" s="75">
        <f t="shared" si="10"/>
        <v>4281.0790897274564</v>
      </c>
      <c r="J35" s="77">
        <f>344.235+39.762</f>
        <v>383.99700000000001</v>
      </c>
      <c r="K35" s="21"/>
      <c r="L35" s="21"/>
    </row>
    <row r="36" spans="1:12" ht="15.75" x14ac:dyDescent="0.25">
      <c r="A36" s="37" t="s">
        <v>164</v>
      </c>
      <c r="B36" s="78"/>
      <c r="C36" s="66">
        <f>SUM(C26:C35)</f>
        <v>40863.247999999992</v>
      </c>
      <c r="D36" s="66">
        <f>SUM(D26:D35)</f>
        <v>587.70378524541604</v>
      </c>
      <c r="E36" s="66">
        <f t="shared" ref="E36" si="19">SUM(E26:E34)</f>
        <v>40903.238695517961</v>
      </c>
      <c r="F36" s="66"/>
      <c r="G36" s="66">
        <f t="shared" ref="G36:I36" si="20">SUM(G26:G35)</f>
        <v>30075.825140174682</v>
      </c>
      <c r="H36" s="66">
        <f t="shared" si="20"/>
        <v>11546.553645070733</v>
      </c>
      <c r="I36" s="66">
        <f t="shared" si="20"/>
        <v>41622.378785245419</v>
      </c>
      <c r="J36" s="66"/>
      <c r="K36" s="21"/>
      <c r="L36" s="21"/>
    </row>
    <row r="37" spans="1:12" ht="17.25" x14ac:dyDescent="0.25">
      <c r="A37" s="79" t="s">
        <v>166</v>
      </c>
      <c r="B37" s="38"/>
      <c r="C37" s="38"/>
      <c r="D37" s="38"/>
      <c r="E37" s="38"/>
      <c r="F37" s="38"/>
      <c r="G37" s="38"/>
      <c r="H37" s="38"/>
      <c r="I37" s="38"/>
      <c r="J37" s="38"/>
      <c r="K37" s="21"/>
      <c r="L37" s="21"/>
    </row>
    <row r="38" spans="1:12" ht="15.75" x14ac:dyDescent="0.25">
      <c r="A38" s="38" t="s">
        <v>125</v>
      </c>
      <c r="B38" s="38"/>
      <c r="C38" s="38"/>
      <c r="D38" s="38"/>
      <c r="E38" s="38"/>
      <c r="F38" s="38"/>
      <c r="G38" s="38"/>
      <c r="H38" s="38"/>
      <c r="I38" s="38"/>
      <c r="J38" s="38"/>
      <c r="K38" s="21"/>
      <c r="L38" s="21"/>
    </row>
    <row r="39" spans="1:12" ht="15.75" x14ac:dyDescent="0.25">
      <c r="A39" s="38" t="s">
        <v>26</v>
      </c>
      <c r="B39" s="71">
        <f ca="1">NOW()</f>
        <v>43724.400166319443</v>
      </c>
      <c r="C39" s="58"/>
      <c r="D39" s="54"/>
      <c r="E39" s="54"/>
      <c r="F39" s="54"/>
      <c r="G39" s="54"/>
      <c r="H39" s="54"/>
      <c r="I39" s="54"/>
      <c r="J39" s="54"/>
      <c r="K39" s="21"/>
      <c r="L39" s="21"/>
    </row>
    <row r="40" spans="1:12" ht="15.75" x14ac:dyDescent="0.25">
      <c r="A40" s="1"/>
      <c r="B40" s="3"/>
      <c r="C40" s="4"/>
      <c r="D40" s="3"/>
      <c r="E40" s="3"/>
      <c r="F40" s="3"/>
      <c r="G40" s="3"/>
      <c r="H40" s="5"/>
      <c r="I40" s="3"/>
      <c r="J40" s="3"/>
      <c r="K40" s="21"/>
      <c r="L40" s="21"/>
    </row>
    <row r="41" spans="1:12" ht="15.75" x14ac:dyDescent="0.25">
      <c r="A41" s="1"/>
      <c r="B41" s="3"/>
      <c r="C41" s="3"/>
      <c r="D41" s="3"/>
      <c r="E41" s="3"/>
      <c r="F41" s="3"/>
      <c r="G41" s="3"/>
      <c r="H41" s="3"/>
      <c r="I41" s="3"/>
      <c r="J41" s="3"/>
      <c r="K41" s="21"/>
      <c r="L41" s="21"/>
    </row>
    <row r="42" spans="1:1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1"/>
      <c r="L42" s="21"/>
    </row>
    <row r="43" spans="1:1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1"/>
      <c r="L43" s="21"/>
    </row>
    <row r="44" spans="1:12" ht="15.75" x14ac:dyDescent="0.25">
      <c r="K44" s="21"/>
      <c r="L44" s="21"/>
    </row>
    <row r="45" spans="1:12" ht="15.75" x14ac:dyDescent="0.25">
      <c r="K45" s="21"/>
      <c r="L45" s="21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41"/>
  <sheetViews>
    <sheetView showGridLines="0" zoomScaleNormal="100" workbookViewId="0"/>
  </sheetViews>
  <sheetFormatPr defaultRowHeight="12.75" x14ac:dyDescent="0.2"/>
  <cols>
    <col min="1" max="1" width="14.5703125" customWidth="1"/>
    <col min="2" max="2" width="11.7109375" customWidth="1"/>
    <col min="3" max="3" width="10.7109375" customWidth="1"/>
    <col min="4" max="4" width="9.5703125" bestFit="1" customWidth="1"/>
    <col min="5" max="5" width="11.28515625" bestFit="1" customWidth="1"/>
    <col min="6" max="6" width="3.7109375" customWidth="1"/>
    <col min="7" max="7" width="10.7109375" bestFit="1" customWidth="1"/>
    <col min="8" max="8" width="10.7109375" customWidth="1"/>
    <col min="9" max="9" width="12.7109375" customWidth="1"/>
    <col min="10" max="10" width="9.7109375" customWidth="1"/>
    <col min="11" max="11" width="10.7109375" customWidth="1"/>
    <col min="12" max="12" width="10.140625" bestFit="1" customWidth="1"/>
    <col min="14" max="14" width="9.28515625" bestFit="1" customWidth="1"/>
  </cols>
  <sheetData>
    <row r="1" spans="1:13" ht="14.25" x14ac:dyDescent="0.2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4.25" x14ac:dyDescent="0.2">
      <c r="A2" s="38"/>
      <c r="B2" s="175" t="s">
        <v>0</v>
      </c>
      <c r="C2" s="175"/>
      <c r="D2" s="175"/>
      <c r="E2" s="175"/>
      <c r="F2" s="41"/>
      <c r="G2" s="175" t="s">
        <v>24</v>
      </c>
      <c r="H2" s="175"/>
      <c r="I2" s="175"/>
      <c r="J2" s="39"/>
      <c r="K2" s="39"/>
      <c r="L2" s="38"/>
    </row>
    <row r="3" spans="1:13" ht="14.25" x14ac:dyDescent="0.2">
      <c r="A3" s="38" t="s">
        <v>83</v>
      </c>
      <c r="B3" s="40" t="s">
        <v>36</v>
      </c>
      <c r="C3" s="80" t="s">
        <v>1</v>
      </c>
      <c r="D3" s="80" t="s">
        <v>37</v>
      </c>
      <c r="E3" s="80" t="s">
        <v>32</v>
      </c>
      <c r="F3" s="80"/>
      <c r="G3" s="39" t="s">
        <v>35</v>
      </c>
      <c r="H3" s="39"/>
      <c r="I3" s="39"/>
      <c r="J3" s="80" t="s">
        <v>39</v>
      </c>
      <c r="K3" s="80" t="s">
        <v>32</v>
      </c>
      <c r="L3" s="80" t="s">
        <v>34</v>
      </c>
    </row>
    <row r="4" spans="1:13" ht="14.25" x14ac:dyDescent="0.2">
      <c r="A4" s="43" t="s">
        <v>84</v>
      </c>
      <c r="B4" s="45" t="s">
        <v>33</v>
      </c>
      <c r="C4" s="46"/>
      <c r="D4" s="46"/>
      <c r="E4" s="46"/>
      <c r="F4" s="46"/>
      <c r="G4" s="45" t="s">
        <v>3</v>
      </c>
      <c r="H4" s="45" t="s">
        <v>96</v>
      </c>
      <c r="I4" s="45" t="s">
        <v>118</v>
      </c>
      <c r="J4" s="46"/>
      <c r="K4" s="46"/>
      <c r="L4" s="80" t="s">
        <v>95</v>
      </c>
    </row>
    <row r="5" spans="1:13" ht="14.25" x14ac:dyDescent="0.2">
      <c r="A5" s="38"/>
      <c r="B5" s="177" t="s">
        <v>109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ht="14.25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3" ht="16.5" x14ac:dyDescent="0.2">
      <c r="A7" s="38" t="s">
        <v>139</v>
      </c>
      <c r="B7" s="74">
        <v>1710.954</v>
      </c>
      <c r="C7" s="74">
        <f>C25</f>
        <v>23772.428000000004</v>
      </c>
      <c r="D7" s="74">
        <f>D25</f>
        <v>335.31611675625004</v>
      </c>
      <c r="E7" s="74">
        <f t="shared" ref="E7:E9" si="0">SUM(B7:D7)</f>
        <v>25818.698116756255</v>
      </c>
      <c r="F7" s="74"/>
      <c r="G7" s="74">
        <f t="shared" ref="G7:G9" si="1">K7-J7</f>
        <v>21380.23059872978</v>
      </c>
      <c r="H7" s="74">
        <f>H25</f>
        <v>7133.6900000000005</v>
      </c>
      <c r="I7" s="74">
        <f t="shared" ref="I7:I9" si="2">G7-H7</f>
        <v>14246.54059872978</v>
      </c>
      <c r="J7" s="74">
        <f>J25</f>
        <v>2443.0335180264719</v>
      </c>
      <c r="K7" s="74">
        <f t="shared" ref="K7:K9" si="3">E7-L7</f>
        <v>23823.264116756254</v>
      </c>
      <c r="L7" s="74">
        <f>L24</f>
        <v>1995.434</v>
      </c>
      <c r="M7" s="17"/>
    </row>
    <row r="8" spans="1:13" ht="16.5" x14ac:dyDescent="0.2">
      <c r="A8" s="38" t="s">
        <v>162</v>
      </c>
      <c r="B8" s="74">
        <f>L7</f>
        <v>1995.434</v>
      </c>
      <c r="C8" s="74">
        <v>24230</v>
      </c>
      <c r="D8" s="74">
        <v>400</v>
      </c>
      <c r="E8" s="74">
        <f t="shared" si="0"/>
        <v>26625.434000000001</v>
      </c>
      <c r="F8" s="74"/>
      <c r="G8" s="74">
        <f t="shared" si="1"/>
        <v>22850.434000000001</v>
      </c>
      <c r="H8" s="74">
        <v>8100</v>
      </c>
      <c r="I8" s="74">
        <f t="shared" si="2"/>
        <v>14750.434000000001</v>
      </c>
      <c r="J8" s="74">
        <v>2050</v>
      </c>
      <c r="K8" s="74">
        <f t="shared" si="3"/>
        <v>24900.434000000001</v>
      </c>
      <c r="L8" s="74">
        <v>1725</v>
      </c>
      <c r="M8" s="17"/>
    </row>
    <row r="9" spans="1:13" ht="16.5" x14ac:dyDescent="0.2">
      <c r="A9" s="38" t="s">
        <v>170</v>
      </c>
      <c r="B9" s="74">
        <f>L8</f>
        <v>1725</v>
      </c>
      <c r="C9" s="74">
        <v>24535</v>
      </c>
      <c r="D9" s="74">
        <v>450</v>
      </c>
      <c r="E9" s="74">
        <f t="shared" si="0"/>
        <v>26710</v>
      </c>
      <c r="F9" s="74"/>
      <c r="G9" s="74">
        <f t="shared" si="1"/>
        <v>23500</v>
      </c>
      <c r="H9" s="74">
        <v>8600</v>
      </c>
      <c r="I9" s="74">
        <f t="shared" si="2"/>
        <v>14900</v>
      </c>
      <c r="J9" s="74">
        <v>1725</v>
      </c>
      <c r="K9" s="74">
        <f t="shared" si="3"/>
        <v>25225</v>
      </c>
      <c r="L9" s="74">
        <v>1485</v>
      </c>
      <c r="M9" s="17"/>
    </row>
    <row r="10" spans="1:13" ht="14.25" x14ac:dyDescent="0.2">
      <c r="A10" s="3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7"/>
    </row>
    <row r="11" spans="1:13" ht="14.25" x14ac:dyDescent="0.2">
      <c r="A11" s="41"/>
      <c r="B11" s="75"/>
      <c r="C11" s="81"/>
      <c r="D11" s="75"/>
      <c r="E11" s="75"/>
      <c r="F11" s="75"/>
      <c r="G11" s="75"/>
      <c r="H11" s="75"/>
      <c r="I11" s="75"/>
      <c r="J11" s="75"/>
      <c r="K11" s="75"/>
      <c r="L11" s="75"/>
    </row>
    <row r="12" spans="1:13" ht="14.25" x14ac:dyDescent="0.2">
      <c r="A12" s="38" t="s">
        <v>119</v>
      </c>
      <c r="B12" s="74"/>
      <c r="C12" s="59"/>
      <c r="D12" s="59"/>
      <c r="E12" s="59"/>
      <c r="F12" s="75"/>
      <c r="G12" s="59"/>
      <c r="H12" s="59"/>
      <c r="I12" s="59"/>
      <c r="J12" s="59"/>
      <c r="K12" s="59"/>
      <c r="L12" s="75"/>
    </row>
    <row r="13" spans="1:13" ht="14.25" x14ac:dyDescent="0.2">
      <c r="A13" s="41" t="s">
        <v>57</v>
      </c>
      <c r="B13" s="75">
        <v>1710.954</v>
      </c>
      <c r="C13" s="81">
        <v>2016.8879999999999</v>
      </c>
      <c r="D13" s="75">
        <f>(0.663115+0+13.934702+0)*2.204622</f>
        <v>32.182668510173997</v>
      </c>
      <c r="E13" s="75">
        <f t="shared" ref="E13:E19" si="4">SUM(B13:D13)</f>
        <v>3760.0246685101738</v>
      </c>
      <c r="F13" s="75"/>
      <c r="G13" s="75">
        <f>K13-J13</f>
        <v>1921.1603915106377</v>
      </c>
      <c r="H13" s="75">
        <v>577.42999999999995</v>
      </c>
      <c r="I13" s="59">
        <f>G13-H13</f>
        <v>1343.7303915106377</v>
      </c>
      <c r="J13" s="75">
        <f>(80.225792+0.085525+15.875468+0.265703)*2.204622</f>
        <v>212.64127699953602</v>
      </c>
      <c r="K13" s="75">
        <f>E13-L13</f>
        <v>2133.8016685101738</v>
      </c>
      <c r="L13" s="75">
        <f>1300.36+325.863</f>
        <v>1626.223</v>
      </c>
    </row>
    <row r="14" spans="1:13" ht="14.25" x14ac:dyDescent="0.2">
      <c r="A14" s="41" t="s">
        <v>58</v>
      </c>
      <c r="B14" s="75">
        <f t="shared" ref="B14:B19" si="5">L13</f>
        <v>1626.223</v>
      </c>
      <c r="C14" s="59">
        <v>1977.0050000000001</v>
      </c>
      <c r="D14" s="75">
        <f>(0.66927+0+9.3206+0.0008)*2.204622</f>
        <v>22.025650876739999</v>
      </c>
      <c r="E14" s="75">
        <f t="shared" si="4"/>
        <v>3625.2536508767403</v>
      </c>
      <c r="F14" s="75"/>
      <c r="G14" s="75">
        <f t="shared" ref="G14:G19" si="6">K14-J14</f>
        <v>1802.5265698197784</v>
      </c>
      <c r="H14" s="75">
        <v>590.79999999999995</v>
      </c>
      <c r="I14" s="59">
        <f t="shared" ref="I14:I23" si="7">G14-H14</f>
        <v>1211.7265698197784</v>
      </c>
      <c r="J14" s="75">
        <f>(41.937459+0.208519+17.592338+0.202155)*2.204622</f>
        <v>132.146081056962</v>
      </c>
      <c r="K14" s="75">
        <f t="shared" ref="K14:K19" si="8">E14-L14</f>
        <v>1934.6726508767404</v>
      </c>
      <c r="L14" s="75">
        <f>1379.223+311.358</f>
        <v>1690.5809999999999</v>
      </c>
    </row>
    <row r="15" spans="1:13" ht="14.25" x14ac:dyDescent="0.2">
      <c r="A15" s="41" t="s">
        <v>59</v>
      </c>
      <c r="B15" s="75">
        <f t="shared" si="5"/>
        <v>1690.5809999999999</v>
      </c>
      <c r="C15" s="59">
        <v>2015.2560000000001</v>
      </c>
      <c r="D15" s="75">
        <f>(0.611691+0+13.538281+0.0008)*2.204622</f>
        <v>31.197103268184001</v>
      </c>
      <c r="E15" s="75">
        <f t="shared" si="4"/>
        <v>3737.034103268184</v>
      </c>
      <c r="F15" s="75"/>
      <c r="G15" s="75">
        <f t="shared" si="6"/>
        <v>1613.4431539013021</v>
      </c>
      <c r="H15" s="75">
        <v>593.99</v>
      </c>
      <c r="I15" s="59">
        <f t="shared" si="7"/>
        <v>1019.4531539013021</v>
      </c>
      <c r="J15" s="75">
        <f>(60.89152+0.230156+17.166633+0.145522)*2.204622</f>
        <v>172.91694936688199</v>
      </c>
      <c r="K15" s="75">
        <f t="shared" si="8"/>
        <v>1786.360103268184</v>
      </c>
      <c r="L15" s="75">
        <f>1583.544+367.13</f>
        <v>1950.674</v>
      </c>
    </row>
    <row r="16" spans="1:13" ht="14.25" x14ac:dyDescent="0.2">
      <c r="A16" s="41" t="s">
        <v>60</v>
      </c>
      <c r="B16" s="75">
        <f t="shared" si="5"/>
        <v>1950.674</v>
      </c>
      <c r="C16" s="59">
        <v>1995.5889999999999</v>
      </c>
      <c r="D16" s="75">
        <f>(0.672527+0.001728+9.360229+0)*2.204622</f>
        <v>22.122244185048004</v>
      </c>
      <c r="E16" s="75">
        <f t="shared" si="4"/>
        <v>3968.3852441850481</v>
      </c>
      <c r="F16" s="75"/>
      <c r="G16" s="75">
        <f t="shared" si="6"/>
        <v>1547.88008064784</v>
      </c>
      <c r="H16" s="75">
        <v>462.12</v>
      </c>
      <c r="I16" s="59">
        <f t="shared" si="7"/>
        <v>1085.7600806478399</v>
      </c>
      <c r="J16" s="75">
        <f>(67.939406+0.153133+13.668131+0.213094)*2.204622</f>
        <v>180.72116353720801</v>
      </c>
      <c r="K16" s="75">
        <f t="shared" si="8"/>
        <v>1728.601244185048</v>
      </c>
      <c r="L16" s="75">
        <f>1886.728+353.056</f>
        <v>2239.7840000000001</v>
      </c>
    </row>
    <row r="17" spans="1:12" ht="14.25" x14ac:dyDescent="0.2">
      <c r="A17" s="41" t="s">
        <v>61</v>
      </c>
      <c r="B17" s="75">
        <f t="shared" si="5"/>
        <v>2239.7840000000001</v>
      </c>
      <c r="C17" s="59">
        <v>1889.8409999999999</v>
      </c>
      <c r="D17" s="75">
        <f>(10.974745+0+7.629912+0.0008)*2.204622</f>
        <v>41.017999822254005</v>
      </c>
      <c r="E17" s="75">
        <f t="shared" si="4"/>
        <v>4170.6429998222538</v>
      </c>
      <c r="F17" s="75"/>
      <c r="G17" s="75">
        <f t="shared" si="6"/>
        <v>1565.8113762743883</v>
      </c>
      <c r="H17" s="75">
        <v>495.59</v>
      </c>
      <c r="I17" s="59">
        <f t="shared" si="7"/>
        <v>1070.2213762743884</v>
      </c>
      <c r="J17" s="75">
        <f>(68.12744+0.142344+12.90994+0.217279)*2.204622</f>
        <v>179.44962354786603</v>
      </c>
      <c r="K17" s="75">
        <f t="shared" si="8"/>
        <v>1745.2609998222542</v>
      </c>
      <c r="L17" s="75">
        <f>2049.644+375.738</f>
        <v>2425.3819999999996</v>
      </c>
    </row>
    <row r="18" spans="1:12" ht="14.25" x14ac:dyDescent="0.2">
      <c r="A18" s="41" t="s">
        <v>62</v>
      </c>
      <c r="B18" s="75">
        <f t="shared" si="5"/>
        <v>2425.3819999999996</v>
      </c>
      <c r="C18" s="59">
        <v>2079.123</v>
      </c>
      <c r="D18" s="75">
        <f>(1.613442+0+7.97635+0.0008)*2.204622</f>
        <v>21.143630116223999</v>
      </c>
      <c r="E18" s="75">
        <f t="shared" si="4"/>
        <v>4525.6486301162231</v>
      </c>
      <c r="F18" s="75"/>
      <c r="G18" s="75">
        <f t="shared" si="6"/>
        <v>1877.9403104172752</v>
      </c>
      <c r="H18" s="75">
        <v>624.15</v>
      </c>
      <c r="I18" s="59">
        <f t="shared" si="7"/>
        <v>1253.7903104172751</v>
      </c>
      <c r="J18" s="75">
        <f>(63.26355+0.255788+28.408661+0.253935)*2.204622</f>
        <v>203.226319698948</v>
      </c>
      <c r="K18" s="75">
        <f t="shared" si="8"/>
        <v>2081.1666301162231</v>
      </c>
      <c r="L18" s="75">
        <f>2080.138+364.344</f>
        <v>2444.482</v>
      </c>
    </row>
    <row r="19" spans="1:12" ht="14.25" x14ac:dyDescent="0.2">
      <c r="A19" s="41" t="s">
        <v>63</v>
      </c>
      <c r="B19" s="75">
        <f t="shared" si="5"/>
        <v>2444.482</v>
      </c>
      <c r="C19" s="59">
        <v>1964.922</v>
      </c>
      <c r="D19" s="75">
        <f>(0.56331+0.103249+12.3464+0)*2.204622</f>
        <v>28.688655696498</v>
      </c>
      <c r="E19" s="75">
        <f t="shared" si="4"/>
        <v>4438.0926556964987</v>
      </c>
      <c r="F19" s="75"/>
      <c r="G19" s="75">
        <f t="shared" si="6"/>
        <v>1536.9962173366227</v>
      </c>
      <c r="H19" s="75">
        <v>519.55999999999995</v>
      </c>
      <c r="I19" s="59">
        <f t="shared" si="7"/>
        <v>1017.4362173366228</v>
      </c>
      <c r="J19" s="75">
        <f>(74.547873+0.133339+21.342471+0.283275)*2.204622</f>
        <v>212.32043835987602</v>
      </c>
      <c r="K19" s="75">
        <f t="shared" si="8"/>
        <v>1749.3166556964989</v>
      </c>
      <c r="L19" s="75">
        <f>2316.192+372.584</f>
        <v>2688.7759999999998</v>
      </c>
    </row>
    <row r="20" spans="1:12" ht="14.25" x14ac:dyDescent="0.2">
      <c r="A20" s="41" t="s">
        <v>64</v>
      </c>
      <c r="B20" s="75">
        <f>L19</f>
        <v>2688.7759999999998</v>
      </c>
      <c r="C20" s="59">
        <v>1966.511</v>
      </c>
      <c r="D20" s="75">
        <f>(0.754842+0+14.709869+0.00128)*2.204622</f>
        <v>34.096664010402002</v>
      </c>
      <c r="E20" s="75">
        <f>SUM(B20:D20)</f>
        <v>4689.3836640104018</v>
      </c>
      <c r="F20" s="75"/>
      <c r="G20" s="75">
        <f>K20-J20</f>
        <v>1883.9005750484957</v>
      </c>
      <c r="H20" s="75">
        <v>581.33000000000004</v>
      </c>
      <c r="I20" s="59">
        <f t="shared" si="7"/>
        <v>1302.5705750484958</v>
      </c>
      <c r="J20" s="75">
        <f>(171.049084+0.572188+23.792737+0.275814)*2.204622</f>
        <v>431.42208896190601</v>
      </c>
      <c r="K20" s="75">
        <f>E20-L20</f>
        <v>2315.3226640104017</v>
      </c>
      <c r="L20" s="75">
        <f>2002.934+371.127</f>
        <v>2374.0610000000001</v>
      </c>
    </row>
    <row r="21" spans="1:12" ht="14.25" x14ac:dyDescent="0.2">
      <c r="A21" s="41" t="s">
        <v>65</v>
      </c>
      <c r="B21" s="75">
        <f>L20</f>
        <v>2374.0610000000001</v>
      </c>
      <c r="C21" s="59">
        <v>1936.9069999999999</v>
      </c>
      <c r="D21" s="75">
        <f>(2.305083+0+12.102798+0.0008)*2.204622</f>
        <v>31.765695123581999</v>
      </c>
      <c r="E21" s="75">
        <f>SUM(B21:D21)</f>
        <v>4342.733695123582</v>
      </c>
      <c r="F21" s="75"/>
      <c r="G21" s="75">
        <f>K21-J21</f>
        <v>1809.8430295830899</v>
      </c>
      <c r="H21" s="75">
        <v>623.61</v>
      </c>
      <c r="I21" s="59">
        <f t="shared" si="7"/>
        <v>1186.2330295830898</v>
      </c>
      <c r="J21" s="75">
        <f>(86.616031+0.094936+16.408293+0.337326)*2.204622</f>
        <v>228.08266554049203</v>
      </c>
      <c r="K21" s="75">
        <f>E21-L21</f>
        <v>2037.925695123582</v>
      </c>
      <c r="L21" s="75">
        <f>1933.152+371.656</f>
        <v>2304.808</v>
      </c>
    </row>
    <row r="22" spans="1:12" ht="14.25" x14ac:dyDescent="0.2">
      <c r="A22" s="41" t="s">
        <v>67</v>
      </c>
      <c r="B22" s="75">
        <f>L21</f>
        <v>2304.808</v>
      </c>
      <c r="C22" s="59">
        <v>2043.3230000000001</v>
      </c>
      <c r="D22" s="75">
        <f>(2.90045+0+11.937917+0.0018)*2.204622</f>
        <v>32.716958651874002</v>
      </c>
      <c r="E22" s="75">
        <f>SUM(B22:D22)</f>
        <v>4380.8479586518743</v>
      </c>
      <c r="F22" s="75"/>
      <c r="G22" s="75">
        <f>K22-J22</f>
        <v>1822.4984100716565</v>
      </c>
      <c r="H22" s="75">
        <v>671.27</v>
      </c>
      <c r="I22" s="59">
        <f t="shared" si="7"/>
        <v>1151.2284100716565</v>
      </c>
      <c r="J22" s="75">
        <f>(61.467766+0.164409+17.26546+0.346584)*2.204622</f>
        <v>174.70354858021798</v>
      </c>
      <c r="K22" s="75">
        <f>E22-L22</f>
        <v>1997.2019586518745</v>
      </c>
      <c r="L22" s="75">
        <f>1983.666+399.98</f>
        <v>2383.6459999999997</v>
      </c>
    </row>
    <row r="23" spans="1:12" ht="14.25" x14ac:dyDescent="0.2">
      <c r="A23" s="41" t="s">
        <v>68</v>
      </c>
      <c r="B23" s="75">
        <f>L22</f>
        <v>2383.6459999999997</v>
      </c>
      <c r="C23" s="59">
        <v>1944.9659999999999</v>
      </c>
      <c r="D23" s="75">
        <f>(1.713977+0+9.048481+0.0008)*2.204622</f>
        <v>23.728915378476003</v>
      </c>
      <c r="E23" s="75">
        <f>SUM(B23:D23)</f>
        <v>4352.3409153784751</v>
      </c>
      <c r="F23" s="75"/>
      <c r="G23" s="75">
        <f>K23-J23</f>
        <v>1943.066683975743</v>
      </c>
      <c r="H23" s="75">
        <v>705.13</v>
      </c>
      <c r="I23" s="59">
        <f t="shared" si="7"/>
        <v>1237.9366839757431</v>
      </c>
      <c r="J23" s="75">
        <f>(71.876295+0.073925+16.05385+0.208436)*2.204622</f>
        <v>194.47523140273202</v>
      </c>
      <c r="K23" s="75">
        <f>E23-L23</f>
        <v>2137.5419153784751</v>
      </c>
      <c r="L23" s="75">
        <f>1843.912+370.887</f>
        <v>2214.799</v>
      </c>
    </row>
    <row r="24" spans="1:12" ht="14.25" x14ac:dyDescent="0.2">
      <c r="A24" s="41" t="s">
        <v>70</v>
      </c>
      <c r="B24" s="75">
        <f>L23</f>
        <v>2214.799</v>
      </c>
      <c r="C24" s="59">
        <v>1942.097</v>
      </c>
      <c r="D24" s="75">
        <f>(2.178466+0.0007+4.448861+0.008)*2.204622</f>
        <v>14.629931116793999</v>
      </c>
      <c r="E24" s="75">
        <f>SUM(B24:D24)</f>
        <v>4171.5259311167938</v>
      </c>
      <c r="F24" s="75"/>
      <c r="G24" s="75">
        <f>K24-J24</f>
        <v>2055.1638001429478</v>
      </c>
      <c r="H24" s="75">
        <v>688.71</v>
      </c>
      <c r="I24" s="59">
        <f>G24-H24</f>
        <v>1366.4538001429478</v>
      </c>
      <c r="J24" s="75">
        <f>(41.318617+0.082871+13.182967+0.267638)*2.204622</f>
        <v>120.928130973846</v>
      </c>
      <c r="K24" s="75">
        <f>E24-L24</f>
        <v>2176.0919311167936</v>
      </c>
      <c r="L24" s="75">
        <f>1648.347+347.087</f>
        <v>1995.434</v>
      </c>
    </row>
    <row r="25" spans="1:12" ht="14.25" x14ac:dyDescent="0.2">
      <c r="A25" s="41" t="s">
        <v>3</v>
      </c>
      <c r="B25" s="75"/>
      <c r="C25" s="59">
        <f>SUM(C13:C24)</f>
        <v>23772.428000000004</v>
      </c>
      <c r="D25" s="59">
        <f>SUM(D13:D24)</f>
        <v>335.31611675625004</v>
      </c>
      <c r="E25" s="59">
        <f>B13+C25+D25</f>
        <v>25818.698116756255</v>
      </c>
      <c r="F25" s="75"/>
      <c r="G25" s="59">
        <f>SUM(G13:G24)</f>
        <v>21380.23059872978</v>
      </c>
      <c r="H25" s="59">
        <f>SUM(H13:H24)</f>
        <v>7133.6900000000005</v>
      </c>
      <c r="I25" s="59">
        <f>SUM(I13:I24)</f>
        <v>14246.540598729776</v>
      </c>
      <c r="J25" s="59">
        <f>SUM(J13:J24)</f>
        <v>2443.0335180264719</v>
      </c>
      <c r="K25" s="59">
        <f>SUM(K13:K24)</f>
        <v>23823.264116756243</v>
      </c>
      <c r="L25" s="75"/>
    </row>
    <row r="26" spans="1:12" ht="14.25" x14ac:dyDescent="0.2">
      <c r="A26" s="41"/>
      <c r="B26" s="75"/>
      <c r="C26" s="59"/>
      <c r="D26" s="59"/>
      <c r="E26" s="59"/>
      <c r="F26" s="75"/>
      <c r="G26" s="59"/>
      <c r="H26" s="59"/>
      <c r="I26" s="59"/>
      <c r="J26" s="59"/>
      <c r="K26" s="59"/>
      <c r="L26" s="75"/>
    </row>
    <row r="27" spans="1:12" ht="14.25" x14ac:dyDescent="0.2">
      <c r="A27" s="38" t="s">
        <v>163</v>
      </c>
      <c r="B27" s="75"/>
      <c r="C27" s="59"/>
      <c r="D27" s="59"/>
      <c r="E27" s="59"/>
      <c r="F27" s="75"/>
      <c r="G27" s="59"/>
      <c r="H27" s="59"/>
      <c r="I27" s="59"/>
      <c r="J27" s="59"/>
      <c r="K27" s="59"/>
      <c r="L27" s="75"/>
    </row>
    <row r="28" spans="1:12" ht="14.25" x14ac:dyDescent="0.2">
      <c r="A28" s="41" t="s">
        <v>57</v>
      </c>
      <c r="B28" s="75">
        <f>L24</f>
        <v>1995.434</v>
      </c>
      <c r="C28" s="59">
        <v>2134.5529999999999</v>
      </c>
      <c r="D28" s="75">
        <f>(1.737942+0+14.079112+0)*2.204622</f>
        <v>34.870625223588</v>
      </c>
      <c r="E28" s="75">
        <f>SUM(B28:D28)</f>
        <v>4164.857625223588</v>
      </c>
      <c r="F28" s="75"/>
      <c r="G28" s="75">
        <f>K28-J28</f>
        <v>1971.1017975407021</v>
      </c>
      <c r="H28" s="75">
        <v>698.88</v>
      </c>
      <c r="I28" s="59">
        <f t="shared" ref="I28:I36" si="9">G28-H28</f>
        <v>1272.221797540702</v>
      </c>
      <c r="J28" s="75">
        <f>(55.858963+0.092113+10.135032+0.231305)*2.204622</f>
        <v>146.20482768288602</v>
      </c>
      <c r="K28" s="75">
        <f>E28-L28</f>
        <v>2117.3066252235881</v>
      </c>
      <c r="L28" s="75">
        <f>1700.684+346.867</f>
        <v>2047.5509999999999</v>
      </c>
    </row>
    <row r="29" spans="1:12" ht="14.25" x14ac:dyDescent="0.2">
      <c r="A29" s="41" t="s">
        <v>58</v>
      </c>
      <c r="B29" s="75">
        <f>L28</f>
        <v>2047.5509999999999</v>
      </c>
      <c r="C29" s="59">
        <v>2060.5630000000001</v>
      </c>
      <c r="D29" s="75">
        <f>(0.859494+0.011057+14.770563+0.0008)*2.204622</f>
        <v>34.484507726507999</v>
      </c>
      <c r="E29" s="75">
        <f>SUM(B29:D29)</f>
        <v>4142.5985077265077</v>
      </c>
      <c r="F29" s="75"/>
      <c r="G29" s="75">
        <f>K29-J29</f>
        <v>2027.2521314197675</v>
      </c>
      <c r="H29" s="75">
        <v>703.79</v>
      </c>
      <c r="I29" s="59">
        <f t="shared" si="9"/>
        <v>1323.4621314197675</v>
      </c>
      <c r="J29" s="75">
        <f>(87.869928+0.165614+9.139504+0.380624)*2.204622</f>
        <v>215.07337630674002</v>
      </c>
      <c r="K29" s="75">
        <f>E29-L29</f>
        <v>2242.3255077265076</v>
      </c>
      <c r="L29" s="75">
        <f>1582.363+317.91</f>
        <v>1900.2730000000001</v>
      </c>
    </row>
    <row r="30" spans="1:12" ht="14.25" x14ac:dyDescent="0.2">
      <c r="A30" s="41" t="s">
        <v>59</v>
      </c>
      <c r="B30" s="75">
        <f>L29</f>
        <v>1900.2730000000001</v>
      </c>
      <c r="C30" s="59">
        <v>2135.37</v>
      </c>
      <c r="D30" s="75">
        <f>(2.278714+0.102885+17.78989+0.0008)*2.204622</f>
        <v>44.47227211975801</v>
      </c>
      <c r="E30" s="75">
        <f>SUM(B30:D30)</f>
        <v>4080.1152721197582</v>
      </c>
      <c r="F30" s="59"/>
      <c r="G30" s="75">
        <f>K30-J30</f>
        <v>1976.5384950247783</v>
      </c>
      <c r="H30" s="75">
        <v>767.76</v>
      </c>
      <c r="I30" s="59">
        <f t="shared" si="9"/>
        <v>1208.7784950247783</v>
      </c>
      <c r="J30" s="75">
        <f>(61.867102+0.216942+9.105599+0.354947)*2.204622</f>
        <v>157.72877709498002</v>
      </c>
      <c r="K30" s="75">
        <f t="shared" ref="K30:K37" si="10">E30-L30</f>
        <v>2134.2672721197582</v>
      </c>
      <c r="L30" s="75">
        <f>1601.77+344.078</f>
        <v>1945.848</v>
      </c>
    </row>
    <row r="31" spans="1:12" ht="14.25" x14ac:dyDescent="0.2">
      <c r="A31" s="41" t="s">
        <v>60</v>
      </c>
      <c r="B31" s="75">
        <f>L30</f>
        <v>1945.848</v>
      </c>
      <c r="C31" s="59">
        <v>2115.799</v>
      </c>
      <c r="D31" s="75">
        <f>(1.232832+0.000565+12.844114+0.00048)*2.204622</f>
        <v>31.036648674401999</v>
      </c>
      <c r="E31" s="75">
        <f t="shared" ref="E31:E35" si="11">SUM(B31:D31)</f>
        <v>4092.6836486744019</v>
      </c>
      <c r="F31" s="59"/>
      <c r="G31" s="75">
        <f>K31-J31</f>
        <v>1866.8960887065257</v>
      </c>
      <c r="H31" s="75">
        <v>622.80999999999995</v>
      </c>
      <c r="I31" s="59">
        <f t="shared" si="9"/>
        <v>1244.0860887065257</v>
      </c>
      <c r="J31" s="75">
        <f>(86.321768+0.169398+13.585229+0.194563)*2.204622</f>
        <v>221.05955996787603</v>
      </c>
      <c r="K31" s="75">
        <f t="shared" si="10"/>
        <v>2087.9556486744018</v>
      </c>
      <c r="L31" s="75">
        <f>1659.501+345.227</f>
        <v>2004.7280000000001</v>
      </c>
    </row>
    <row r="32" spans="1:12" ht="14.25" x14ac:dyDescent="0.2">
      <c r="A32" s="41" t="s">
        <v>61</v>
      </c>
      <c r="B32" s="75">
        <f>L31</f>
        <v>2004.7280000000001</v>
      </c>
      <c r="C32" s="59">
        <v>1899.1959999999999</v>
      </c>
      <c r="D32" s="75">
        <f>(1.036189+0+12.266298+0.0008)*2.204622</f>
        <v>29.328719192514004</v>
      </c>
      <c r="E32" s="75">
        <f t="shared" si="11"/>
        <v>3933.2527191925142</v>
      </c>
      <c r="F32" s="59"/>
      <c r="G32" s="75">
        <f>K32-J32</f>
        <v>1692.3842773339961</v>
      </c>
      <c r="H32" s="75">
        <v>559.57000000000005</v>
      </c>
      <c r="I32" s="59">
        <f t="shared" si="9"/>
        <v>1132.814277333996</v>
      </c>
      <c r="J32" s="75">
        <f>(29.230159+0.074299+12.057246+0.250165)*2.204622</f>
        <v>91.738441858518016</v>
      </c>
      <c r="K32" s="75">
        <f t="shared" si="10"/>
        <v>1784.1227191925141</v>
      </c>
      <c r="L32" s="75">
        <f>1762.965+386.165</f>
        <v>2149.13</v>
      </c>
    </row>
    <row r="33" spans="1:12" ht="14.25" x14ac:dyDescent="0.2">
      <c r="A33" s="41" t="s">
        <v>62</v>
      </c>
      <c r="B33" s="75">
        <f t="shared" ref="B33:B34" si="12">L32</f>
        <v>2149.13</v>
      </c>
      <c r="C33" s="59">
        <v>2094.4180000000001</v>
      </c>
      <c r="D33" s="75">
        <f>(0.61092+0.0008+13.177229+0.00082)*2.204622</f>
        <v>30.401228112318002</v>
      </c>
      <c r="E33" s="75">
        <f t="shared" si="11"/>
        <v>4273.9492281123185</v>
      </c>
      <c r="F33" s="75"/>
      <c r="G33" s="75">
        <f t="shared" ref="G33" si="13">K33-J33</f>
        <v>1769.1811510570665</v>
      </c>
      <c r="H33" s="75">
        <v>617.01</v>
      </c>
      <c r="I33" s="59">
        <f t="shared" si="9"/>
        <v>1152.1711510570665</v>
      </c>
      <c r="J33" s="75">
        <f>(105.920622+0.129031+16.580273+0.67424)*2.204622</f>
        <v>271.83907705525195</v>
      </c>
      <c r="K33" s="75">
        <f t="shared" si="10"/>
        <v>2041.0202281123184</v>
      </c>
      <c r="L33" s="75">
        <f>1893.918+339.011</f>
        <v>2232.9290000000001</v>
      </c>
    </row>
    <row r="34" spans="1:12" ht="14.25" x14ac:dyDescent="0.2">
      <c r="A34" s="41" t="s">
        <v>63</v>
      </c>
      <c r="B34" s="75">
        <f t="shared" si="12"/>
        <v>2232.9290000000001</v>
      </c>
      <c r="C34" s="59">
        <v>1989.1010000000001</v>
      </c>
      <c r="D34" s="75">
        <f>(0.55383+0+12.611174+0.0008)*2.204622</f>
        <v>29.025621146088</v>
      </c>
      <c r="E34" s="75">
        <f t="shared" si="11"/>
        <v>4251.0556211460889</v>
      </c>
      <c r="F34" s="75"/>
      <c r="G34" s="75">
        <f>K34-J34</f>
        <v>1845.2466056534167</v>
      </c>
      <c r="H34" s="75">
        <v>631.84</v>
      </c>
      <c r="I34" s="59">
        <f t="shared" si="9"/>
        <v>1213.4066056534166</v>
      </c>
      <c r="J34" s="75">
        <f>(54.848471+0.2357+11.759032+0.380573)*2.204622</f>
        <v>148.20301549267199</v>
      </c>
      <c r="K34" s="75">
        <f t="shared" si="10"/>
        <v>1993.4496211460887</v>
      </c>
      <c r="L34" s="75">
        <f>1893.351+364.255</f>
        <v>2257.6060000000002</v>
      </c>
    </row>
    <row r="35" spans="1:12" ht="14.25" x14ac:dyDescent="0.2">
      <c r="A35" s="41" t="s">
        <v>64</v>
      </c>
      <c r="B35" s="75">
        <f t="shared" ref="B35:B36" si="14">L34</f>
        <v>2257.6060000000002</v>
      </c>
      <c r="C35" s="59">
        <v>1915.9939999999999</v>
      </c>
      <c r="D35" s="75">
        <f>(0.55383087+0+15.169599+0)*2.204622</f>
        <v>34.664219406859139</v>
      </c>
      <c r="E35" s="75">
        <f t="shared" si="11"/>
        <v>4208.2642194068594</v>
      </c>
      <c r="F35" s="75"/>
      <c r="G35" s="75">
        <f>K35-J35</f>
        <v>1983.6632017077052</v>
      </c>
      <c r="H35" s="75">
        <v>659.05</v>
      </c>
      <c r="I35" s="59">
        <f t="shared" si="9"/>
        <v>1324.6132017077052</v>
      </c>
      <c r="J35" s="75">
        <f>(80.309787+0.081671+12.554494+0.373455)*2.204622</f>
        <v>205.73401769915404</v>
      </c>
      <c r="K35" s="75">
        <f t="shared" si="10"/>
        <v>2189.3972194068592</v>
      </c>
      <c r="L35" s="75">
        <f>1662.782+356.085</f>
        <v>2018.867</v>
      </c>
    </row>
    <row r="36" spans="1:12" ht="14.25" x14ac:dyDescent="0.2">
      <c r="A36" s="41" t="s">
        <v>65</v>
      </c>
      <c r="B36" s="75">
        <f t="shared" si="14"/>
        <v>2018.867</v>
      </c>
      <c r="C36" s="59">
        <v>1811.481</v>
      </c>
      <c r="D36" s="75">
        <f>(0.478023+0+15.44509+0.0008)*2.204622</f>
        <v>35.106208925886001</v>
      </c>
      <c r="E36" s="75">
        <f t="shared" ref="E36" si="15">SUM(B36:D36)</f>
        <v>3865.4542089258862</v>
      </c>
      <c r="F36" s="75"/>
      <c r="G36" s="75">
        <f>K36-J36</f>
        <v>1755.6417846767504</v>
      </c>
      <c r="H36" s="75">
        <v>594.15</v>
      </c>
      <c r="I36" s="59">
        <f t="shared" si="9"/>
        <v>1161.4917846767503</v>
      </c>
      <c r="J36" s="75">
        <f>(33.517763+0.113445+9.280684+0.357396)*2.204622</f>
        <v>95.392424249136013</v>
      </c>
      <c r="K36" s="75">
        <f t="shared" si="10"/>
        <v>1851.0342089258863</v>
      </c>
      <c r="L36" s="75">
        <f>1595.273+419.147</f>
        <v>2014.4199999999998</v>
      </c>
    </row>
    <row r="37" spans="1:12" ht="14.25" x14ac:dyDescent="0.2">
      <c r="A37" s="41" t="s">
        <v>67</v>
      </c>
      <c r="B37" s="75">
        <f t="shared" ref="B37" si="16">L36</f>
        <v>2014.4199999999998</v>
      </c>
      <c r="C37" s="59">
        <v>2090.1790000000001</v>
      </c>
      <c r="D37" s="75">
        <f>(0.864052+0+15.691172+0)*2.204622</f>
        <v>36.498011045327999</v>
      </c>
      <c r="E37" s="75">
        <f t="shared" ref="E37" si="17">SUM(B37:D37)</f>
        <v>4141.0970110453281</v>
      </c>
      <c r="F37" s="75"/>
      <c r="G37" s="75">
        <f>K37-J37</f>
        <v>1927.3845944961558</v>
      </c>
      <c r="H37" s="75" t="s">
        <v>10</v>
      </c>
      <c r="I37" s="75" t="s">
        <v>10</v>
      </c>
      <c r="J37" s="75">
        <f>(68.326636+0.060647+10.41124+0.271003)*2.204622</f>
        <v>174.31841654917196</v>
      </c>
      <c r="K37" s="75">
        <f t="shared" si="10"/>
        <v>2101.7030110453279</v>
      </c>
      <c r="L37" s="75">
        <f>1652.747+386.647</f>
        <v>2039.394</v>
      </c>
    </row>
    <row r="38" spans="1:12" ht="14.25" x14ac:dyDescent="0.2">
      <c r="A38" s="37" t="s">
        <v>164</v>
      </c>
      <c r="B38" s="136"/>
      <c r="C38" s="66">
        <f>SUM(C28:C37)</f>
        <v>20246.654000000002</v>
      </c>
      <c r="D38" s="66">
        <f>SUM(D28:D37)</f>
        <v>339.8880615732491</v>
      </c>
      <c r="E38" s="66">
        <f>B28+C38+D38</f>
        <v>22581.976061573252</v>
      </c>
      <c r="F38" s="82"/>
      <c r="G38" s="66">
        <f t="shared" ref="G38:K38" si="18">SUM(G28:G37)</f>
        <v>18815.290127616863</v>
      </c>
      <c r="H38" s="66">
        <f t="shared" si="18"/>
        <v>5854.8600000000006</v>
      </c>
      <c r="I38" s="66">
        <f t="shared" si="18"/>
        <v>11033.045533120709</v>
      </c>
      <c r="J38" s="66">
        <f t="shared" si="18"/>
        <v>1727.2919339563859</v>
      </c>
      <c r="K38" s="66">
        <f t="shared" si="18"/>
        <v>20542.582061573245</v>
      </c>
      <c r="L38" s="82"/>
    </row>
    <row r="39" spans="1:12" ht="16.5" x14ac:dyDescent="0.2">
      <c r="A39" s="79" t="s">
        <v>126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ht="14.25" x14ac:dyDescent="0.2">
      <c r="A40" s="38" t="s">
        <v>125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ht="14.25" x14ac:dyDescent="0.2">
      <c r="A41" s="38" t="s">
        <v>26</v>
      </c>
      <c r="B41" s="71">
        <f ca="1">NOW()</f>
        <v>43724.400166319443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  <ignoredErrors>
    <ignoredError sqref="I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6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5703125" customWidth="1"/>
    <col min="3" max="3" width="10.7109375" customWidth="1"/>
    <col min="4" max="4" width="11.7109375" customWidth="1"/>
    <col min="5" max="5" width="10.7109375" customWidth="1"/>
    <col min="6" max="6" width="10.5703125" customWidth="1"/>
    <col min="7" max="7" width="11.7109375" customWidth="1"/>
    <col min="8" max="8" width="8.7109375" customWidth="1"/>
    <col min="9" max="9" width="9.7109375" customWidth="1"/>
    <col min="10" max="11" width="7.7109375" customWidth="1"/>
    <col min="12" max="12" width="8.5703125" customWidth="1"/>
    <col min="13" max="13" width="9.5703125" customWidth="1"/>
    <col min="14" max="15" width="7.5703125" customWidth="1"/>
  </cols>
  <sheetData>
    <row r="1" spans="1:15" ht="14.25" x14ac:dyDescent="0.2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</row>
    <row r="2" spans="1:15" ht="14.25" x14ac:dyDescent="0.2">
      <c r="A2" s="38"/>
      <c r="B2" s="175" t="s">
        <v>0</v>
      </c>
      <c r="C2" s="175"/>
      <c r="D2" s="175"/>
      <c r="E2" s="175"/>
      <c r="F2" s="83"/>
      <c r="G2" s="175" t="s">
        <v>24</v>
      </c>
      <c r="H2" s="175"/>
      <c r="I2" s="175"/>
      <c r="J2" s="175"/>
      <c r="K2" s="83"/>
      <c r="L2" s="38"/>
      <c r="M2" s="38"/>
      <c r="N2" s="38"/>
      <c r="O2" s="38"/>
    </row>
    <row r="3" spans="1:15" ht="14.25" x14ac:dyDescent="0.2">
      <c r="A3" s="38" t="s">
        <v>83</v>
      </c>
      <c r="B3" s="42" t="s">
        <v>36</v>
      </c>
      <c r="C3" s="42"/>
      <c r="D3" s="42"/>
      <c r="E3" s="42"/>
      <c r="F3" s="84"/>
      <c r="G3" s="42"/>
      <c r="H3" s="42"/>
      <c r="I3" s="42"/>
      <c r="J3" s="42"/>
      <c r="K3" s="40" t="s">
        <v>34</v>
      </c>
      <c r="L3" s="38"/>
      <c r="M3" s="38"/>
      <c r="N3" s="38"/>
      <c r="O3" s="38"/>
    </row>
    <row r="4" spans="1:15" ht="14.25" x14ac:dyDescent="0.2">
      <c r="A4" s="43" t="s">
        <v>85</v>
      </c>
      <c r="B4" s="45" t="s">
        <v>53</v>
      </c>
      <c r="C4" s="85" t="s">
        <v>1</v>
      </c>
      <c r="D4" s="47" t="s">
        <v>37</v>
      </c>
      <c r="E4" s="45" t="s">
        <v>94</v>
      </c>
      <c r="F4" s="46"/>
      <c r="G4" s="45" t="s">
        <v>40</v>
      </c>
      <c r="H4" s="45" t="s">
        <v>4</v>
      </c>
      <c r="I4" s="45" t="s">
        <v>41</v>
      </c>
      <c r="J4" s="45" t="s">
        <v>38</v>
      </c>
      <c r="K4" s="45" t="s">
        <v>33</v>
      </c>
      <c r="L4" s="38"/>
      <c r="M4" s="38"/>
      <c r="N4" s="38"/>
      <c r="O4" s="38"/>
    </row>
    <row r="5" spans="1:15" ht="14.25" x14ac:dyDescent="0.2">
      <c r="A5" s="38"/>
      <c r="B5" s="176" t="s">
        <v>18</v>
      </c>
      <c r="C5" s="176"/>
      <c r="D5" s="176"/>
      <c r="E5" s="176"/>
      <c r="F5" s="176"/>
      <c r="G5" s="176"/>
      <c r="H5" s="176"/>
      <c r="I5" s="176"/>
      <c r="J5" s="176"/>
      <c r="K5" s="176"/>
      <c r="L5" s="38"/>
      <c r="M5" s="38"/>
      <c r="N5" s="38"/>
      <c r="O5" s="38"/>
    </row>
    <row r="6" spans="1:15" ht="14.25" x14ac:dyDescent="0.2">
      <c r="A6" s="38"/>
      <c r="B6" s="38"/>
      <c r="C6" s="38"/>
      <c r="D6" s="38"/>
      <c r="E6" s="38"/>
      <c r="F6" s="38"/>
      <c r="G6" s="80"/>
      <c r="H6" s="86"/>
      <c r="I6" s="80"/>
      <c r="J6" s="80"/>
      <c r="K6" s="38"/>
      <c r="L6" s="38"/>
      <c r="M6" s="38"/>
      <c r="N6" s="38"/>
      <c r="O6" s="38"/>
    </row>
    <row r="7" spans="1:15" ht="16.5" x14ac:dyDescent="0.2">
      <c r="A7" s="38" t="s">
        <v>139</v>
      </c>
      <c r="B7" s="87">
        <v>400</v>
      </c>
      <c r="C7" s="87">
        <v>6422</v>
      </c>
      <c r="D7" s="88">
        <v>0</v>
      </c>
      <c r="E7" s="87">
        <f>B7+C7+D7</f>
        <v>6822</v>
      </c>
      <c r="F7" s="53"/>
      <c r="G7" s="87">
        <v>1853.576</v>
      </c>
      <c r="H7" s="89">
        <v>478.09618</v>
      </c>
      <c r="I7" s="87">
        <f>J7-G7-H7</f>
        <v>4039.32782</v>
      </c>
      <c r="J7" s="87">
        <f>E7-K7</f>
        <v>6371</v>
      </c>
      <c r="K7" s="87">
        <v>451</v>
      </c>
      <c r="L7" s="38"/>
      <c r="M7" s="38"/>
      <c r="N7" s="38"/>
      <c r="O7" s="38"/>
    </row>
    <row r="8" spans="1:15" ht="16.5" x14ac:dyDescent="0.2">
      <c r="A8" s="38" t="s">
        <v>162</v>
      </c>
      <c r="B8" s="87">
        <f>K7</f>
        <v>451</v>
      </c>
      <c r="C8" s="87">
        <v>5631</v>
      </c>
      <c r="D8" s="88">
        <v>0.50413091273999999</v>
      </c>
      <c r="E8" s="87">
        <f>B8+C8+D8</f>
        <v>6082.50413091274</v>
      </c>
      <c r="F8" s="53"/>
      <c r="G8" s="87">
        <v>1760.4089999999999</v>
      </c>
      <c r="H8" s="89">
        <v>387.03680000000003</v>
      </c>
      <c r="I8" s="87">
        <f t="shared" ref="I8:I9" si="0">J8-G8-H8</f>
        <v>3458.0583309127405</v>
      </c>
      <c r="J8" s="87">
        <f t="shared" ref="J8:J9" si="1">E8-K8</f>
        <v>5605.50413091274</v>
      </c>
      <c r="K8" s="87">
        <v>477</v>
      </c>
      <c r="L8" s="38"/>
      <c r="M8" s="38"/>
      <c r="N8" s="38"/>
      <c r="O8" s="38"/>
    </row>
    <row r="9" spans="1:15" ht="16.5" x14ac:dyDescent="0.2">
      <c r="A9" s="37" t="s">
        <v>170</v>
      </c>
      <c r="B9" s="90">
        <f>K8</f>
        <v>477</v>
      </c>
      <c r="C9" s="90">
        <v>6770</v>
      </c>
      <c r="D9" s="91">
        <v>2</v>
      </c>
      <c r="E9" s="90">
        <f>B9+C9+D9</f>
        <v>7249</v>
      </c>
      <c r="F9" s="92"/>
      <c r="G9" s="90">
        <v>2000</v>
      </c>
      <c r="H9" s="93">
        <v>450</v>
      </c>
      <c r="I9" s="90">
        <f t="shared" si="0"/>
        <v>4296</v>
      </c>
      <c r="J9" s="90">
        <f t="shared" si="1"/>
        <v>6746</v>
      </c>
      <c r="K9" s="90">
        <v>503</v>
      </c>
      <c r="L9" s="38"/>
      <c r="M9" s="38"/>
      <c r="N9" s="38"/>
      <c r="O9" s="38"/>
    </row>
    <row r="10" spans="1:15" ht="16.5" x14ac:dyDescent="0.2">
      <c r="A10" s="79" t="s">
        <v>127</v>
      </c>
      <c r="B10" s="38"/>
      <c r="C10" s="53"/>
      <c r="D10" s="53"/>
      <c r="E10" s="53"/>
      <c r="F10" s="53"/>
      <c r="G10" s="53"/>
      <c r="H10" s="53"/>
      <c r="I10" s="53"/>
      <c r="J10" s="53"/>
      <c r="K10" s="38"/>
      <c r="L10" s="38"/>
      <c r="M10" s="38"/>
      <c r="N10" s="38"/>
      <c r="O10" s="38"/>
    </row>
    <row r="11" spans="1:15" ht="14.25" x14ac:dyDescent="0.2">
      <c r="A11" s="38" t="s">
        <v>128</v>
      </c>
      <c r="B11" s="54"/>
      <c r="C11" s="58"/>
      <c r="D11" s="38"/>
      <c r="E11" s="54"/>
      <c r="F11" s="54"/>
      <c r="G11" s="54"/>
      <c r="H11" s="54"/>
      <c r="I11" s="54"/>
      <c r="J11" s="54"/>
      <c r="K11" s="38"/>
      <c r="L11" s="38"/>
      <c r="M11" s="38"/>
      <c r="N11" s="38"/>
      <c r="O11" s="38"/>
    </row>
    <row r="12" spans="1:15" ht="14.25" x14ac:dyDescent="0.2">
      <c r="A12" s="38" t="s">
        <v>129</v>
      </c>
      <c r="B12" s="54"/>
      <c r="C12" s="58"/>
      <c r="D12" s="38"/>
      <c r="E12" s="54"/>
      <c r="F12" s="54"/>
      <c r="G12" s="54"/>
      <c r="H12" s="54"/>
      <c r="I12" s="54"/>
      <c r="J12" s="54"/>
      <c r="K12" s="38"/>
      <c r="L12" s="38"/>
      <c r="M12" s="38"/>
      <c r="N12" s="38"/>
      <c r="O12" s="38"/>
    </row>
    <row r="13" spans="1:15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14.25" x14ac:dyDescent="0.2">
      <c r="A14" s="37" t="s">
        <v>12</v>
      </c>
      <c r="B14" s="37"/>
      <c r="C14" s="37"/>
      <c r="D14" s="37"/>
      <c r="E14" s="37"/>
      <c r="F14" s="37"/>
      <c r="G14" s="37"/>
      <c r="H14" s="37"/>
      <c r="I14" s="38"/>
      <c r="J14" s="37"/>
      <c r="K14" s="38"/>
      <c r="L14" s="38"/>
      <c r="M14" s="38"/>
      <c r="N14" s="38"/>
      <c r="O14" s="38"/>
    </row>
    <row r="15" spans="1:15" ht="14.25" x14ac:dyDescent="0.2">
      <c r="A15" s="38"/>
      <c r="B15" s="175" t="s">
        <v>0</v>
      </c>
      <c r="C15" s="175"/>
      <c r="D15" s="175"/>
      <c r="E15" s="175"/>
      <c r="F15" s="38"/>
      <c r="G15" s="175" t="s">
        <v>24</v>
      </c>
      <c r="H15" s="175"/>
      <c r="I15" s="175"/>
      <c r="J15" s="38"/>
      <c r="K15" s="38"/>
      <c r="L15" s="38"/>
      <c r="M15" s="38"/>
      <c r="N15" s="38"/>
      <c r="O15" s="38"/>
    </row>
    <row r="16" spans="1:15" ht="14.25" x14ac:dyDescent="0.2">
      <c r="A16" s="38" t="s">
        <v>83</v>
      </c>
      <c r="B16" s="40" t="s">
        <v>36</v>
      </c>
      <c r="C16" s="42"/>
      <c r="D16" s="42"/>
      <c r="E16" s="42"/>
      <c r="F16" s="42"/>
      <c r="G16" s="42"/>
      <c r="H16" s="42"/>
      <c r="I16" s="42"/>
      <c r="J16" s="40" t="s">
        <v>34</v>
      </c>
      <c r="K16" s="38"/>
      <c r="L16" s="38"/>
      <c r="M16" s="38"/>
      <c r="N16" s="38"/>
      <c r="O16" s="38"/>
    </row>
    <row r="17" spans="1:15" ht="14.25" x14ac:dyDescent="0.2">
      <c r="A17" s="43" t="s">
        <v>84</v>
      </c>
      <c r="B17" s="45" t="s">
        <v>33</v>
      </c>
      <c r="C17" s="85" t="s">
        <v>1</v>
      </c>
      <c r="D17" s="47" t="s">
        <v>37</v>
      </c>
      <c r="E17" s="45" t="s">
        <v>38</v>
      </c>
      <c r="F17" s="46"/>
      <c r="G17" s="94" t="s">
        <v>9</v>
      </c>
      <c r="H17" s="45" t="s">
        <v>4</v>
      </c>
      <c r="I17" s="47" t="s">
        <v>32</v>
      </c>
      <c r="J17" s="45" t="s">
        <v>33</v>
      </c>
      <c r="K17" s="38"/>
      <c r="L17" s="38"/>
      <c r="M17" s="38"/>
      <c r="N17" s="38"/>
      <c r="O17" s="38"/>
    </row>
    <row r="18" spans="1:15" ht="14.25" x14ac:dyDescent="0.2">
      <c r="A18" s="38"/>
      <c r="B18" s="176" t="s">
        <v>19</v>
      </c>
      <c r="C18" s="176"/>
      <c r="D18" s="176"/>
      <c r="E18" s="176"/>
      <c r="F18" s="176"/>
      <c r="G18" s="176"/>
      <c r="H18" s="176"/>
      <c r="I18" s="176"/>
      <c r="J18" s="176"/>
      <c r="K18" s="38"/>
      <c r="L18" s="38"/>
      <c r="M18" s="38"/>
      <c r="N18" s="38"/>
      <c r="O18" s="38"/>
    </row>
    <row r="19" spans="1:15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6.5" x14ac:dyDescent="0.2">
      <c r="A20" s="38" t="s">
        <v>139</v>
      </c>
      <c r="B20" s="87">
        <v>27.736000000000001</v>
      </c>
      <c r="C20" s="89">
        <v>845</v>
      </c>
      <c r="D20" s="88">
        <v>0</v>
      </c>
      <c r="E20" s="89">
        <f t="shared" ref="E20:E22" si="2">B20+C20+D20</f>
        <v>872.73599999999999</v>
      </c>
      <c r="F20" s="38"/>
      <c r="G20" s="89">
        <f>I20-H20</f>
        <v>708.28489999999999</v>
      </c>
      <c r="H20" s="89">
        <v>119.4511</v>
      </c>
      <c r="I20" s="89">
        <f>E20-J20</f>
        <v>827.73599999999999</v>
      </c>
      <c r="J20" s="87">
        <v>45</v>
      </c>
      <c r="K20" s="38"/>
      <c r="L20" s="38"/>
      <c r="M20" s="38"/>
      <c r="N20" s="38"/>
      <c r="O20" s="38"/>
    </row>
    <row r="21" spans="1:15" ht="16.5" x14ac:dyDescent="0.2">
      <c r="A21" s="38" t="s">
        <v>162</v>
      </c>
      <c r="B21" s="87">
        <f>J20</f>
        <v>45</v>
      </c>
      <c r="C21" s="89">
        <v>790</v>
      </c>
      <c r="D21" s="88">
        <v>0</v>
      </c>
      <c r="E21" s="89">
        <f t="shared" si="2"/>
        <v>835</v>
      </c>
      <c r="F21" s="38"/>
      <c r="G21" s="89">
        <f>I21-H21</f>
        <v>690</v>
      </c>
      <c r="H21" s="89">
        <v>105</v>
      </c>
      <c r="I21" s="89">
        <f t="shared" ref="I21:I22" si="3">E21-J21</f>
        <v>795</v>
      </c>
      <c r="J21" s="87">
        <v>40</v>
      </c>
      <c r="K21" s="38"/>
      <c r="L21" s="38"/>
      <c r="M21" s="38"/>
      <c r="N21" s="38"/>
      <c r="O21" s="38"/>
    </row>
    <row r="22" spans="1:15" ht="16.5" x14ac:dyDescent="0.2">
      <c r="A22" s="37" t="s">
        <v>170</v>
      </c>
      <c r="B22" s="90">
        <f>J21</f>
        <v>40</v>
      </c>
      <c r="C22" s="93">
        <v>900</v>
      </c>
      <c r="D22" s="91">
        <v>0</v>
      </c>
      <c r="E22" s="93">
        <f t="shared" si="2"/>
        <v>940</v>
      </c>
      <c r="F22" s="92"/>
      <c r="G22" s="93">
        <f>I22-H22</f>
        <v>790</v>
      </c>
      <c r="H22" s="93">
        <v>110</v>
      </c>
      <c r="I22" s="93">
        <f t="shared" si="3"/>
        <v>900</v>
      </c>
      <c r="J22" s="90">
        <v>40</v>
      </c>
      <c r="K22" s="38"/>
      <c r="L22" s="38"/>
      <c r="M22" s="38"/>
      <c r="N22" s="38"/>
      <c r="O22" s="38"/>
    </row>
    <row r="23" spans="1:15" ht="16.5" x14ac:dyDescent="0.2">
      <c r="A23" s="79" t="s">
        <v>127</v>
      </c>
      <c r="B23" s="38"/>
      <c r="C23" s="53"/>
      <c r="D23" s="53"/>
      <c r="E23" s="53"/>
      <c r="F23" s="53"/>
      <c r="G23" s="53"/>
      <c r="H23" s="53"/>
      <c r="I23" s="38"/>
      <c r="J23" s="38"/>
      <c r="K23" s="38"/>
      <c r="L23" s="38"/>
      <c r="M23" s="38"/>
      <c r="N23" s="38"/>
      <c r="O23" s="38"/>
    </row>
    <row r="24" spans="1:15" ht="14.25" x14ac:dyDescent="0.2">
      <c r="A24" s="38" t="s">
        <v>130</v>
      </c>
      <c r="B24" s="95"/>
      <c r="C24" s="95"/>
      <c r="D24" s="95"/>
      <c r="E24" s="95"/>
      <c r="F24" s="95"/>
      <c r="G24" s="95"/>
      <c r="H24" s="95"/>
      <c r="I24" s="38"/>
      <c r="J24" s="38"/>
      <c r="K24" s="38"/>
      <c r="L24" s="38"/>
      <c r="M24" s="38"/>
      <c r="N24" s="38"/>
      <c r="O24" s="38"/>
    </row>
    <row r="25" spans="1:15" ht="14.25" x14ac:dyDescent="0.2">
      <c r="A25" s="41"/>
      <c r="B25" s="54"/>
      <c r="C25" s="54"/>
      <c r="D25" s="54"/>
      <c r="E25" s="54"/>
      <c r="F25" s="54"/>
      <c r="G25" s="54"/>
      <c r="H25" s="54"/>
      <c r="I25" s="38"/>
      <c r="J25" s="38"/>
      <c r="K25" s="38"/>
      <c r="L25" s="38"/>
      <c r="M25" s="38"/>
      <c r="N25" s="38"/>
      <c r="O25" s="38"/>
    </row>
    <row r="26" spans="1:15" ht="14.25" x14ac:dyDescent="0.2">
      <c r="A26" s="41"/>
      <c r="B26" s="54"/>
      <c r="C26" s="58"/>
      <c r="D26" s="54"/>
      <c r="E26" s="54"/>
      <c r="F26" s="54"/>
      <c r="G26" s="54"/>
      <c r="H26" s="54"/>
      <c r="I26" s="38"/>
      <c r="J26" s="38"/>
      <c r="K26" s="38"/>
      <c r="L26" s="38"/>
      <c r="M26" s="38"/>
      <c r="N26" s="38"/>
      <c r="O26" s="38"/>
    </row>
    <row r="27" spans="1:15" ht="14.25" x14ac:dyDescent="0.2">
      <c r="A27" s="37" t="s">
        <v>13</v>
      </c>
      <c r="B27" s="37"/>
      <c r="C27" s="37"/>
      <c r="D27" s="37"/>
      <c r="E27" s="37"/>
      <c r="F27" s="37"/>
      <c r="G27" s="37"/>
      <c r="H27" s="37"/>
      <c r="I27" s="38"/>
      <c r="J27" s="37"/>
      <c r="K27" s="38"/>
      <c r="L27" s="38"/>
      <c r="M27" s="38"/>
      <c r="N27" s="38"/>
      <c r="O27" s="38"/>
    </row>
    <row r="28" spans="1:15" ht="14.25" x14ac:dyDescent="0.2">
      <c r="A28" s="38"/>
      <c r="B28" s="175" t="s">
        <v>0</v>
      </c>
      <c r="C28" s="175"/>
      <c r="D28" s="175"/>
      <c r="E28" s="175"/>
      <c r="F28" s="38"/>
      <c r="G28" s="175" t="s">
        <v>24</v>
      </c>
      <c r="H28" s="175"/>
      <c r="I28" s="175"/>
      <c r="J28" s="38"/>
      <c r="K28" s="38"/>
      <c r="L28" s="38"/>
      <c r="M28" s="38"/>
      <c r="N28" s="38"/>
      <c r="O28" s="38"/>
    </row>
    <row r="29" spans="1:15" ht="14.25" x14ac:dyDescent="0.2">
      <c r="A29" s="38" t="s">
        <v>83</v>
      </c>
      <c r="B29" s="40" t="s">
        <v>36</v>
      </c>
      <c r="C29" s="42"/>
      <c r="D29" s="42"/>
      <c r="E29" s="42"/>
      <c r="F29" s="42"/>
      <c r="G29" s="42"/>
      <c r="H29" s="42"/>
      <c r="I29" s="42"/>
      <c r="J29" s="40" t="s">
        <v>34</v>
      </c>
      <c r="K29" s="38"/>
      <c r="L29" s="38"/>
      <c r="M29" s="38"/>
      <c r="N29" s="38"/>
      <c r="O29" s="38"/>
    </row>
    <row r="30" spans="1:15" ht="14.25" x14ac:dyDescent="0.2">
      <c r="A30" s="43" t="s">
        <v>84</v>
      </c>
      <c r="B30" s="45" t="s">
        <v>33</v>
      </c>
      <c r="C30" s="45" t="s">
        <v>1</v>
      </c>
      <c r="D30" s="47" t="s">
        <v>37</v>
      </c>
      <c r="E30" s="45" t="s">
        <v>38</v>
      </c>
      <c r="F30" s="46"/>
      <c r="G30" s="45" t="s">
        <v>35</v>
      </c>
      <c r="H30" s="45" t="s">
        <v>4</v>
      </c>
      <c r="I30" s="45" t="s">
        <v>32</v>
      </c>
      <c r="J30" s="45" t="s">
        <v>95</v>
      </c>
      <c r="K30" s="38"/>
      <c r="L30" s="38"/>
      <c r="M30" s="38"/>
      <c r="N30" s="38"/>
      <c r="O30" s="38"/>
    </row>
    <row r="31" spans="1:15" ht="14.25" x14ac:dyDescent="0.2">
      <c r="A31" s="38"/>
      <c r="B31" s="176" t="s">
        <v>20</v>
      </c>
      <c r="C31" s="176"/>
      <c r="D31" s="176"/>
      <c r="E31" s="176"/>
      <c r="F31" s="176"/>
      <c r="G31" s="176"/>
      <c r="H31" s="176"/>
      <c r="I31" s="176"/>
      <c r="J31" s="176"/>
      <c r="K31" s="38"/>
      <c r="L31" s="38"/>
      <c r="M31" s="38"/>
      <c r="N31" s="38"/>
      <c r="O31" s="38"/>
    </row>
    <row r="32" spans="1:15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6.5" x14ac:dyDescent="0.2">
      <c r="A33" s="38" t="s">
        <v>139</v>
      </c>
      <c r="B33" s="88">
        <v>44.128999999999998</v>
      </c>
      <c r="C33" s="89">
        <v>561</v>
      </c>
      <c r="D33" s="88">
        <v>0.16077900000000001</v>
      </c>
      <c r="E33" s="96">
        <f t="shared" ref="E33:E35" si="4">B33+C33+D33</f>
        <v>605.28977900000007</v>
      </c>
      <c r="F33" s="38"/>
      <c r="G33" s="89">
        <f>I33-H33</f>
        <v>474.27177900000004</v>
      </c>
      <c r="H33" s="89">
        <v>99.018000000000001</v>
      </c>
      <c r="I33" s="89">
        <f t="shared" ref="I33:I35" si="5">E33-J33</f>
        <v>573.28977900000007</v>
      </c>
      <c r="J33" s="97">
        <v>32</v>
      </c>
      <c r="K33" s="38"/>
      <c r="L33" s="38"/>
      <c r="M33" s="38"/>
      <c r="N33" s="38"/>
      <c r="O33" s="38"/>
    </row>
    <row r="34" spans="1:15" ht="16.5" x14ac:dyDescent="0.2">
      <c r="A34" s="38" t="s">
        <v>162</v>
      </c>
      <c r="B34" s="88">
        <f>J33</f>
        <v>32</v>
      </c>
      <c r="C34" s="89">
        <v>480</v>
      </c>
      <c r="D34" s="88">
        <v>1</v>
      </c>
      <c r="E34" s="96">
        <f t="shared" si="4"/>
        <v>513</v>
      </c>
      <c r="F34" s="38"/>
      <c r="G34" s="89">
        <f t="shared" ref="G34:G35" si="6">I34-H34</f>
        <v>383</v>
      </c>
      <c r="H34" s="89">
        <v>90</v>
      </c>
      <c r="I34" s="89">
        <f t="shared" si="5"/>
        <v>473</v>
      </c>
      <c r="J34" s="97">
        <v>40</v>
      </c>
      <c r="K34" s="38"/>
      <c r="L34" s="38"/>
      <c r="M34" s="38"/>
      <c r="N34" s="38"/>
      <c r="O34" s="38"/>
    </row>
    <row r="35" spans="1:15" ht="16.5" x14ac:dyDescent="0.2">
      <c r="A35" s="37" t="s">
        <v>170</v>
      </c>
      <c r="B35" s="91">
        <f>J34</f>
        <v>40</v>
      </c>
      <c r="C35" s="93">
        <v>580</v>
      </c>
      <c r="D35" s="91">
        <v>1</v>
      </c>
      <c r="E35" s="98">
        <f t="shared" si="4"/>
        <v>621</v>
      </c>
      <c r="F35" s="92"/>
      <c r="G35" s="93">
        <f t="shared" si="6"/>
        <v>456</v>
      </c>
      <c r="H35" s="93">
        <v>125</v>
      </c>
      <c r="I35" s="93">
        <f t="shared" si="5"/>
        <v>581</v>
      </c>
      <c r="J35" s="93">
        <v>40</v>
      </c>
      <c r="K35" s="38"/>
      <c r="L35" s="38"/>
      <c r="M35" s="38"/>
      <c r="N35" s="38"/>
      <c r="O35" s="38"/>
    </row>
    <row r="36" spans="1:15" ht="16.5" x14ac:dyDescent="0.2">
      <c r="A36" s="79" t="s">
        <v>127</v>
      </c>
      <c r="B36" s="38"/>
      <c r="C36" s="53"/>
      <c r="D36" s="53"/>
      <c r="E36" s="53"/>
      <c r="F36" s="53"/>
      <c r="G36" s="53"/>
      <c r="H36" s="53"/>
      <c r="I36" s="38"/>
      <c r="J36" s="38"/>
      <c r="K36" s="38"/>
      <c r="L36" s="38"/>
      <c r="M36" s="38"/>
      <c r="N36" s="38"/>
      <c r="O36" s="38"/>
    </row>
    <row r="37" spans="1:15" ht="14.25" x14ac:dyDescent="0.2">
      <c r="A37" s="38" t="s">
        <v>131</v>
      </c>
      <c r="B37" s="54"/>
      <c r="C37" s="58"/>
      <c r="D37" s="54"/>
      <c r="E37" s="54"/>
      <c r="F37" s="54"/>
      <c r="G37" s="54"/>
      <c r="H37" s="54"/>
      <c r="I37" s="38"/>
      <c r="J37" s="38"/>
      <c r="K37" s="38"/>
      <c r="L37" s="38"/>
      <c r="M37" s="38"/>
      <c r="N37" s="38"/>
      <c r="O37" s="38"/>
    </row>
    <row r="38" spans="1:15" ht="14.25" x14ac:dyDescent="0.2">
      <c r="A38" s="41"/>
      <c r="B38" s="41"/>
      <c r="C38" s="41"/>
      <c r="D38" s="41"/>
      <c r="E38" s="41"/>
      <c r="F38" s="41"/>
      <c r="G38" s="41"/>
      <c r="H38" s="41"/>
      <c r="I38" s="38"/>
      <c r="J38" s="38"/>
      <c r="K38" s="38"/>
      <c r="L38" s="38"/>
      <c r="M38" s="38"/>
      <c r="N38" s="38"/>
      <c r="O38" s="38"/>
    </row>
    <row r="39" spans="1:15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25" x14ac:dyDescent="0.2">
      <c r="A40" s="37" t="s">
        <v>14</v>
      </c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7"/>
    </row>
    <row r="41" spans="1:15" ht="14.25" x14ac:dyDescent="0.2">
      <c r="A41" s="38"/>
      <c r="B41" s="175" t="s">
        <v>27</v>
      </c>
      <c r="C41" s="175"/>
      <c r="D41" s="40" t="s">
        <v>30</v>
      </c>
      <c r="E41" s="175" t="s">
        <v>91</v>
      </c>
      <c r="F41" s="175"/>
      <c r="G41" s="175"/>
      <c r="H41" s="175"/>
      <c r="I41" s="38"/>
      <c r="J41" s="175" t="s">
        <v>24</v>
      </c>
      <c r="K41" s="175"/>
      <c r="L41" s="175"/>
      <c r="M41" s="175"/>
      <c r="N41" s="175"/>
      <c r="O41" s="38"/>
    </row>
    <row r="42" spans="1:15" ht="14.25" x14ac:dyDescent="0.2">
      <c r="A42" s="38" t="s">
        <v>83</v>
      </c>
      <c r="B42" s="40" t="s">
        <v>28</v>
      </c>
      <c r="C42" s="40" t="s">
        <v>29</v>
      </c>
      <c r="D42" s="38"/>
      <c r="E42" s="40" t="s">
        <v>36</v>
      </c>
      <c r="F42" s="40"/>
      <c r="G42" s="40"/>
      <c r="H42" s="40"/>
      <c r="I42" s="38"/>
      <c r="J42" s="40" t="s">
        <v>9</v>
      </c>
      <c r="K42" s="40"/>
      <c r="L42" s="40" t="s">
        <v>98</v>
      </c>
      <c r="M42" s="40"/>
      <c r="N42" s="40"/>
      <c r="O42" s="40" t="s">
        <v>34</v>
      </c>
    </row>
    <row r="43" spans="1:15" ht="14.25" x14ac:dyDescent="0.2">
      <c r="A43" s="43" t="s">
        <v>85</v>
      </c>
      <c r="B43" s="44"/>
      <c r="C43" s="44"/>
      <c r="D43" s="44"/>
      <c r="E43" s="45" t="s">
        <v>33</v>
      </c>
      <c r="F43" s="45" t="s">
        <v>1</v>
      </c>
      <c r="G43" s="45" t="s">
        <v>37</v>
      </c>
      <c r="H43" s="45" t="s">
        <v>38</v>
      </c>
      <c r="I43" s="45"/>
      <c r="J43" s="45" t="s">
        <v>42</v>
      </c>
      <c r="K43" s="45" t="s">
        <v>40</v>
      </c>
      <c r="L43" s="45" t="s">
        <v>5</v>
      </c>
      <c r="M43" s="47" t="s">
        <v>4</v>
      </c>
      <c r="N43" s="45" t="s">
        <v>32</v>
      </c>
      <c r="O43" s="45" t="s">
        <v>95</v>
      </c>
    </row>
    <row r="44" spans="1:15" ht="14.25" x14ac:dyDescent="0.2">
      <c r="A44" s="38"/>
      <c r="B44" s="177" t="s">
        <v>93</v>
      </c>
      <c r="C44" s="176"/>
      <c r="D44" s="99" t="s">
        <v>78</v>
      </c>
      <c r="E44" s="176" t="s">
        <v>21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</row>
    <row r="45" spans="1:15" ht="14.25" x14ac:dyDescent="0.2">
      <c r="A45" s="38"/>
      <c r="B45" s="40"/>
      <c r="C45" s="4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6.5" x14ac:dyDescent="0.2">
      <c r="A46" s="38" t="s">
        <v>139</v>
      </c>
      <c r="B46" s="87">
        <v>1871.6</v>
      </c>
      <c r="C46" s="87">
        <v>1775.6</v>
      </c>
      <c r="D46" s="87">
        <f>F46*1000/C46</f>
        <v>4007.3271006983555</v>
      </c>
      <c r="E46" s="87">
        <v>1441.5920000000001</v>
      </c>
      <c r="F46" s="87">
        <v>7115.41</v>
      </c>
      <c r="G46" s="97">
        <v>171.48</v>
      </c>
      <c r="H46" s="87">
        <f>SUM(E46:G46)</f>
        <v>8728.482</v>
      </c>
      <c r="I46" s="87"/>
      <c r="J46" s="87">
        <v>3148.9827068371601</v>
      </c>
      <c r="K46" s="87">
        <f>1.333*528.75</f>
        <v>704.82375000000002</v>
      </c>
      <c r="L46" s="89">
        <f>N46-J46-K46-M46</f>
        <v>886.59554316283993</v>
      </c>
      <c r="M46" s="97">
        <v>1271</v>
      </c>
      <c r="N46" s="87">
        <f>H46-O46</f>
        <v>6011.402</v>
      </c>
      <c r="O46" s="87">
        <v>2717.08</v>
      </c>
    </row>
    <row r="47" spans="1:15" ht="16.5" x14ac:dyDescent="0.2">
      <c r="A47" s="38" t="s">
        <v>162</v>
      </c>
      <c r="B47" s="87">
        <v>1425.5</v>
      </c>
      <c r="C47" s="87">
        <v>1368.5</v>
      </c>
      <c r="D47" s="87">
        <f>F47*1000/C47</f>
        <v>3990.9389842893679</v>
      </c>
      <c r="E47" s="87">
        <f>O46</f>
        <v>2717.08</v>
      </c>
      <c r="F47" s="87">
        <v>5461.6</v>
      </c>
      <c r="G47" s="97">
        <v>117</v>
      </c>
      <c r="H47" s="87">
        <f t="shared" ref="H47:H48" si="7">SUM(E47:G47)</f>
        <v>8295.68</v>
      </c>
      <c r="I47" s="87"/>
      <c r="J47" s="87">
        <v>3099</v>
      </c>
      <c r="K47" s="87">
        <f>1.333*486.398</f>
        <v>648.36853400000007</v>
      </c>
      <c r="L47" s="89">
        <f>N47-J47-K47-M47</f>
        <v>929.22146599999996</v>
      </c>
      <c r="M47" s="89">
        <v>1198</v>
      </c>
      <c r="N47" s="87">
        <f t="shared" ref="N47:N48" si="8">H47-O47</f>
        <v>5874.59</v>
      </c>
      <c r="O47" s="87">
        <v>2421.09</v>
      </c>
    </row>
    <row r="48" spans="1:15" ht="16.5" x14ac:dyDescent="0.2">
      <c r="A48" s="37" t="s">
        <v>170</v>
      </c>
      <c r="B48" s="90">
        <v>1425</v>
      </c>
      <c r="C48" s="90">
        <v>1383</v>
      </c>
      <c r="D48" s="90">
        <f>F48*1000/C48</f>
        <v>4085.9725234996386</v>
      </c>
      <c r="E48" s="90">
        <f>O47</f>
        <v>2421.09</v>
      </c>
      <c r="F48" s="90">
        <v>5650.9</v>
      </c>
      <c r="G48" s="93">
        <v>100</v>
      </c>
      <c r="H48" s="90">
        <f t="shared" si="7"/>
        <v>8171.99</v>
      </c>
      <c r="I48" s="90"/>
      <c r="J48" s="90">
        <v>3158</v>
      </c>
      <c r="K48" s="90">
        <v>706</v>
      </c>
      <c r="L48" s="93">
        <f>N48-J48-K48-M48</f>
        <v>805.98999999999978</v>
      </c>
      <c r="M48" s="93">
        <v>1275</v>
      </c>
      <c r="N48" s="90">
        <f t="shared" si="8"/>
        <v>5944.99</v>
      </c>
      <c r="O48" s="90">
        <v>2227</v>
      </c>
    </row>
    <row r="49" spans="1:15" ht="16.5" x14ac:dyDescent="0.2">
      <c r="A49" s="79" t="s">
        <v>127</v>
      </c>
      <c r="B49" s="38"/>
      <c r="C49" s="53"/>
      <c r="D49" s="53"/>
      <c r="E49" s="53"/>
      <c r="F49" s="53"/>
      <c r="G49" s="53"/>
      <c r="H49" s="53"/>
      <c r="I49" s="38"/>
      <c r="J49" s="38"/>
      <c r="K49" s="38"/>
      <c r="L49" s="38"/>
      <c r="M49" s="38"/>
      <c r="N49" s="38"/>
      <c r="O49" s="38"/>
    </row>
    <row r="50" spans="1:15" ht="14.25" x14ac:dyDescent="0.2">
      <c r="A50" s="38" t="s">
        <v>132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14.25" x14ac:dyDescent="0.2">
      <c r="A51" s="38" t="s">
        <v>129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4.25" x14ac:dyDescent="0.2">
      <c r="A52" s="38" t="s">
        <v>26</v>
      </c>
      <c r="B52" s="100">
        <f ca="1">NOW()</f>
        <v>43724.400166319443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.75" x14ac:dyDescent="0.25">
      <c r="G53" s="14"/>
      <c r="H53" s="14"/>
    </row>
    <row r="54" spans="1:15" ht="15.75" x14ac:dyDescent="0.25">
      <c r="G54" s="14"/>
      <c r="H54" s="14"/>
    </row>
    <row r="55" spans="1:15" ht="15.75" x14ac:dyDescent="0.25">
      <c r="G55" s="14"/>
      <c r="H55" s="14"/>
    </row>
    <row r="56" spans="1:15" ht="15.75" x14ac:dyDescent="0.25">
      <c r="G56" s="14"/>
      <c r="H56" s="14"/>
    </row>
  </sheetData>
  <mergeCells count="14">
    <mergeCell ref="G2:J2"/>
    <mergeCell ref="G15:I15"/>
    <mergeCell ref="B15:E15"/>
    <mergeCell ref="B2:E2"/>
    <mergeCell ref="B28:E28"/>
    <mergeCell ref="G28:I28"/>
    <mergeCell ref="B5:K5"/>
    <mergeCell ref="B41:C41"/>
    <mergeCell ref="B44:C44"/>
    <mergeCell ref="B31:J31"/>
    <mergeCell ref="B18:J18"/>
    <mergeCell ref="E44:O44"/>
    <mergeCell ref="E41:H41"/>
    <mergeCell ref="J41:N41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"/>
  <sheetViews>
    <sheetView showGridLines="0" zoomScaleNormal="100" workbookViewId="0"/>
  </sheetViews>
  <sheetFormatPr defaultRowHeight="12.75" x14ac:dyDescent="0.2"/>
  <cols>
    <col min="1" max="3" width="11.7109375" customWidth="1"/>
    <col min="4" max="4" width="14.7109375" customWidth="1"/>
    <col min="5" max="5" width="12.5703125" customWidth="1"/>
    <col min="6" max="7" width="11.7109375" customWidth="1"/>
  </cols>
  <sheetData>
    <row r="1" spans="1:11" ht="15.6" customHeight="1" x14ac:dyDescent="0.2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</row>
    <row r="2" spans="1:11" ht="15.6" customHeight="1" x14ac:dyDescent="0.2">
      <c r="A2" s="41" t="s">
        <v>15</v>
      </c>
      <c r="B2" s="80" t="s">
        <v>133</v>
      </c>
      <c r="C2" s="80" t="s">
        <v>134</v>
      </c>
      <c r="D2" s="80" t="s">
        <v>135</v>
      </c>
      <c r="E2" s="80" t="s">
        <v>136</v>
      </c>
      <c r="F2" s="80" t="s">
        <v>137</v>
      </c>
      <c r="G2" s="80" t="s">
        <v>138</v>
      </c>
      <c r="H2" s="1"/>
      <c r="I2" s="1"/>
      <c r="J2" s="1"/>
      <c r="K2" s="1"/>
    </row>
    <row r="3" spans="1:11" ht="15.6" customHeight="1" x14ac:dyDescent="0.2">
      <c r="A3" s="37" t="s">
        <v>16</v>
      </c>
      <c r="B3" s="46"/>
      <c r="C3" s="101"/>
      <c r="D3" s="101"/>
      <c r="E3" s="101"/>
      <c r="F3" s="101"/>
      <c r="G3" s="101"/>
      <c r="H3" s="1"/>
      <c r="I3" s="1"/>
      <c r="J3" s="1"/>
      <c r="K3" s="2"/>
    </row>
    <row r="4" spans="1:11" ht="14.25" x14ac:dyDescent="0.2">
      <c r="A4" s="102"/>
      <c r="B4" s="103" t="s">
        <v>76</v>
      </c>
      <c r="C4" s="103" t="s">
        <v>86</v>
      </c>
      <c r="D4" s="103" t="s">
        <v>104</v>
      </c>
      <c r="E4" s="103" t="s">
        <v>50</v>
      </c>
      <c r="F4" s="103" t="s">
        <v>75</v>
      </c>
      <c r="G4" s="103" t="s">
        <v>76</v>
      </c>
      <c r="H4" s="1"/>
      <c r="I4" s="2"/>
      <c r="J4" s="2"/>
      <c r="K4" s="2"/>
    </row>
    <row r="5" spans="1:11" ht="14.25" x14ac:dyDescent="0.2">
      <c r="A5" s="38"/>
      <c r="B5" s="38"/>
      <c r="C5" s="38"/>
      <c r="D5" s="40"/>
      <c r="E5" s="38"/>
      <c r="F5" s="38"/>
      <c r="G5" s="38"/>
      <c r="H5" s="1"/>
      <c r="I5" s="1"/>
      <c r="J5" s="1"/>
      <c r="K5" s="1"/>
    </row>
    <row r="6" spans="1:11" ht="14.25" x14ac:dyDescent="0.2">
      <c r="A6" s="38" t="s">
        <v>54</v>
      </c>
      <c r="B6" s="104">
        <v>9.59</v>
      </c>
      <c r="C6" s="104">
        <v>158</v>
      </c>
      <c r="D6" s="104">
        <v>15.1</v>
      </c>
      <c r="E6" s="104">
        <v>16.2</v>
      </c>
      <c r="F6" s="104">
        <v>21.7</v>
      </c>
      <c r="G6" s="104">
        <v>8.15</v>
      </c>
      <c r="H6" s="1"/>
      <c r="I6" s="3"/>
      <c r="J6" s="3"/>
      <c r="K6" s="3"/>
    </row>
    <row r="7" spans="1:11" ht="14.25" x14ac:dyDescent="0.2">
      <c r="A7" s="38" t="s">
        <v>55</v>
      </c>
      <c r="B7" s="104">
        <v>11.3</v>
      </c>
      <c r="C7" s="104">
        <v>161</v>
      </c>
      <c r="D7" s="104">
        <v>23.3</v>
      </c>
      <c r="E7" s="104">
        <v>19.3</v>
      </c>
      <c r="F7" s="104">
        <v>22.5</v>
      </c>
      <c r="G7" s="104">
        <v>12.2</v>
      </c>
      <c r="H7" s="1"/>
      <c r="I7" s="3"/>
      <c r="J7" s="3"/>
      <c r="K7" s="3"/>
    </row>
    <row r="8" spans="1:11" ht="14.25" x14ac:dyDescent="0.2">
      <c r="A8" s="38" t="s">
        <v>66</v>
      </c>
      <c r="B8" s="104">
        <v>12.5</v>
      </c>
      <c r="C8" s="104">
        <v>260</v>
      </c>
      <c r="D8" s="104">
        <v>29.1</v>
      </c>
      <c r="E8" s="104">
        <v>24</v>
      </c>
      <c r="F8" s="104">
        <v>31.8</v>
      </c>
      <c r="G8" s="104">
        <v>13.9</v>
      </c>
      <c r="H8" s="1"/>
      <c r="I8" s="3"/>
      <c r="J8" s="3"/>
      <c r="K8" s="3"/>
    </row>
    <row r="9" spans="1:11" ht="14.25" x14ac:dyDescent="0.2">
      <c r="A9" s="38" t="s">
        <v>90</v>
      </c>
      <c r="B9" s="104">
        <v>14.4</v>
      </c>
      <c r="C9" s="104">
        <v>252</v>
      </c>
      <c r="D9" s="104">
        <v>25.4</v>
      </c>
      <c r="E9" s="104">
        <v>26.5</v>
      </c>
      <c r="F9" s="104">
        <v>30.1</v>
      </c>
      <c r="G9" s="104">
        <v>13.8</v>
      </c>
      <c r="H9" s="1"/>
      <c r="I9" s="3"/>
      <c r="J9" s="3"/>
      <c r="K9" s="3"/>
    </row>
    <row r="10" spans="1:11" ht="14.25" x14ac:dyDescent="0.2">
      <c r="A10" s="38" t="s">
        <v>97</v>
      </c>
      <c r="B10" s="104">
        <v>13</v>
      </c>
      <c r="C10" s="104">
        <v>246</v>
      </c>
      <c r="D10" s="104">
        <v>21.4</v>
      </c>
      <c r="E10" s="104">
        <v>20.6</v>
      </c>
      <c r="F10" s="104">
        <v>24.9</v>
      </c>
      <c r="G10" s="104">
        <v>13.8</v>
      </c>
      <c r="H10" s="1"/>
      <c r="I10" s="3"/>
      <c r="J10" s="3"/>
      <c r="K10" s="3"/>
    </row>
    <row r="11" spans="1:11" ht="14.25" x14ac:dyDescent="0.2">
      <c r="A11" s="38" t="s">
        <v>100</v>
      </c>
      <c r="B11" s="104">
        <v>10.1</v>
      </c>
      <c r="C11" s="104">
        <v>194</v>
      </c>
      <c r="D11" s="104">
        <v>21.7</v>
      </c>
      <c r="E11" s="104">
        <v>16.899999999999999</v>
      </c>
      <c r="F11" s="104">
        <v>22</v>
      </c>
      <c r="G11" s="104">
        <v>11.8</v>
      </c>
      <c r="H11" s="1"/>
      <c r="I11" s="3"/>
      <c r="J11" s="3"/>
      <c r="K11" s="3"/>
    </row>
    <row r="12" spans="1:11" ht="14.25" x14ac:dyDescent="0.2">
      <c r="A12" s="38" t="s">
        <v>101</v>
      </c>
      <c r="B12" s="104">
        <v>8.9499999999999993</v>
      </c>
      <c r="C12" s="104">
        <v>227</v>
      </c>
      <c r="D12" s="104">
        <v>19.600000000000001</v>
      </c>
      <c r="E12" s="104">
        <v>15.6</v>
      </c>
      <c r="F12" s="104">
        <v>19.3</v>
      </c>
      <c r="G12" s="104">
        <v>8.9499999999999993</v>
      </c>
      <c r="H12" s="1"/>
      <c r="I12" s="3"/>
      <c r="J12" s="3"/>
      <c r="K12" s="3"/>
    </row>
    <row r="13" spans="1:11" ht="14.25" x14ac:dyDescent="0.2">
      <c r="A13" s="38" t="s">
        <v>117</v>
      </c>
      <c r="B13" s="104">
        <v>9.4700000000000006</v>
      </c>
      <c r="C13" s="104">
        <v>195</v>
      </c>
      <c r="D13" s="104">
        <v>17.399999999999999</v>
      </c>
      <c r="E13" s="104">
        <v>16.600000000000001</v>
      </c>
      <c r="F13" s="104">
        <v>19.7</v>
      </c>
      <c r="G13" s="104">
        <v>8</v>
      </c>
      <c r="H13" s="1"/>
      <c r="I13" s="3"/>
      <c r="J13" s="3"/>
      <c r="K13" s="3"/>
    </row>
    <row r="14" spans="1:11" ht="14.25" x14ac:dyDescent="0.2">
      <c r="A14" s="38" t="s">
        <v>119</v>
      </c>
      <c r="B14" s="104">
        <v>9.33</v>
      </c>
      <c r="C14" s="104">
        <v>142</v>
      </c>
      <c r="D14" s="104">
        <v>17.2</v>
      </c>
      <c r="E14" s="104">
        <v>17.5</v>
      </c>
      <c r="F14" s="104">
        <v>22.9</v>
      </c>
      <c r="G14" s="104">
        <v>9.5299999999999994</v>
      </c>
      <c r="H14" s="1"/>
      <c r="I14" s="3"/>
      <c r="J14" s="3"/>
      <c r="K14" s="3"/>
    </row>
    <row r="15" spans="1:11" ht="14.25" x14ac:dyDescent="0.2">
      <c r="A15" s="38" t="s">
        <v>163</v>
      </c>
      <c r="B15" s="104">
        <v>8.5</v>
      </c>
      <c r="C15" s="104">
        <v>152</v>
      </c>
      <c r="D15" s="104">
        <v>17.3</v>
      </c>
      <c r="E15" s="104">
        <v>15.8</v>
      </c>
      <c r="F15" s="104">
        <v>21.5</v>
      </c>
      <c r="G15" s="104">
        <v>9.86</v>
      </c>
      <c r="H15" s="1"/>
      <c r="I15" s="7"/>
      <c r="J15" s="3"/>
      <c r="K15" s="3"/>
    </row>
    <row r="16" spans="1:11" ht="14.25" x14ac:dyDescent="0.2">
      <c r="A16" s="38" t="s">
        <v>171</v>
      </c>
      <c r="B16" s="104">
        <v>8.5</v>
      </c>
      <c r="C16" s="104">
        <v>157</v>
      </c>
      <c r="D16" s="104">
        <v>16.75</v>
      </c>
      <c r="E16" s="104">
        <v>15.25</v>
      </c>
      <c r="F16" s="104">
        <v>21</v>
      </c>
      <c r="G16" s="104">
        <v>9</v>
      </c>
      <c r="H16" s="1"/>
      <c r="I16" s="7"/>
      <c r="J16" s="3"/>
      <c r="K16" s="3"/>
    </row>
    <row r="17" spans="1:11" ht="14.25" x14ac:dyDescent="0.2">
      <c r="A17" s="41"/>
      <c r="B17" s="106"/>
      <c r="C17" s="107"/>
      <c r="D17" s="108"/>
      <c r="E17" s="108"/>
      <c r="F17" s="105"/>
      <c r="G17" s="109"/>
      <c r="H17" s="3"/>
      <c r="I17" s="7"/>
      <c r="J17" s="3"/>
      <c r="K17" s="3"/>
    </row>
    <row r="18" spans="1:11" ht="14.25" x14ac:dyDescent="0.2">
      <c r="A18" s="65" t="s">
        <v>119</v>
      </c>
      <c r="B18" s="104"/>
      <c r="C18" s="104"/>
      <c r="D18" s="104"/>
      <c r="E18" s="104"/>
      <c r="F18" s="104"/>
      <c r="G18" s="104"/>
      <c r="H18" s="1"/>
    </row>
    <row r="19" spans="1:11" ht="14.25" x14ac:dyDescent="0.2">
      <c r="A19" s="38" t="s">
        <v>70</v>
      </c>
      <c r="B19" s="104">
        <v>9.35</v>
      </c>
      <c r="C19" s="104">
        <v>127</v>
      </c>
      <c r="D19" s="104">
        <v>17.399999999999999</v>
      </c>
      <c r="E19" s="104">
        <v>17.3</v>
      </c>
      <c r="F19" s="104">
        <v>23</v>
      </c>
      <c r="G19" s="104">
        <v>9.5500000000000007</v>
      </c>
      <c r="H19" s="1"/>
    </row>
    <row r="20" spans="1:11" ht="14.25" x14ac:dyDescent="0.2">
      <c r="A20" s="38" t="s">
        <v>57</v>
      </c>
      <c r="B20" s="104">
        <v>9.18</v>
      </c>
      <c r="C20" s="104">
        <v>141</v>
      </c>
      <c r="D20" s="104">
        <v>16.8</v>
      </c>
      <c r="E20" s="104">
        <v>16.600000000000001</v>
      </c>
      <c r="F20" s="104">
        <v>23.2</v>
      </c>
      <c r="G20" s="104">
        <v>9.23</v>
      </c>
      <c r="H20" s="1"/>
    </row>
    <row r="21" spans="1:11" ht="14.25" x14ac:dyDescent="0.2">
      <c r="A21" s="38" t="s">
        <v>58</v>
      </c>
      <c r="B21" s="104">
        <v>9.2200000000000006</v>
      </c>
      <c r="C21" s="104">
        <v>144</v>
      </c>
      <c r="D21" s="104">
        <v>16.600000000000001</v>
      </c>
      <c r="E21" s="104">
        <v>17.2</v>
      </c>
      <c r="F21" s="104">
        <v>22.7</v>
      </c>
      <c r="G21" s="104">
        <v>9.2100000000000009</v>
      </c>
      <c r="H21" s="1"/>
    </row>
    <row r="22" spans="1:11" ht="14.25" x14ac:dyDescent="0.2">
      <c r="A22" s="38" t="s">
        <v>59</v>
      </c>
      <c r="B22" s="104">
        <v>9.3000000000000007</v>
      </c>
      <c r="C22" s="104">
        <v>143</v>
      </c>
      <c r="D22" s="104">
        <v>17</v>
      </c>
      <c r="E22" s="104">
        <v>16.7</v>
      </c>
      <c r="F22" s="104">
        <v>23</v>
      </c>
      <c r="G22" s="104">
        <v>9.34</v>
      </c>
      <c r="H22" s="1"/>
    </row>
    <row r="23" spans="1:11" ht="14.25" x14ac:dyDescent="0.2">
      <c r="A23" s="38" t="s">
        <v>60</v>
      </c>
      <c r="B23" s="104">
        <v>9.3000000000000007</v>
      </c>
      <c r="C23" s="104">
        <v>139</v>
      </c>
      <c r="D23" s="104">
        <v>17.600000000000001</v>
      </c>
      <c r="E23" s="104">
        <v>17.7</v>
      </c>
      <c r="F23" s="104">
        <v>22.9</v>
      </c>
      <c r="G23" s="104">
        <v>9.39</v>
      </c>
      <c r="H23" s="1"/>
    </row>
    <row r="24" spans="1:11" ht="14.25" x14ac:dyDescent="0.2">
      <c r="A24" s="38" t="s">
        <v>61</v>
      </c>
      <c r="B24" s="104">
        <v>9.5</v>
      </c>
      <c r="C24" s="104">
        <v>156</v>
      </c>
      <c r="D24" s="104">
        <v>17.7</v>
      </c>
      <c r="E24" s="104">
        <v>18.3</v>
      </c>
      <c r="F24" s="104">
        <v>22.7</v>
      </c>
      <c r="G24" s="104">
        <v>9.81</v>
      </c>
      <c r="H24" s="1"/>
    </row>
    <row r="25" spans="1:11" ht="14.25" x14ac:dyDescent="0.2">
      <c r="A25" s="38" t="s">
        <v>62</v>
      </c>
      <c r="B25" s="104">
        <v>9.81</v>
      </c>
      <c r="C25" s="104" t="s">
        <v>10</v>
      </c>
      <c r="D25" s="104">
        <v>17.3</v>
      </c>
      <c r="E25" s="104">
        <v>18.2</v>
      </c>
      <c r="F25" s="104">
        <v>24.4</v>
      </c>
      <c r="G25" s="104">
        <v>9.76</v>
      </c>
      <c r="H25" s="1"/>
    </row>
    <row r="26" spans="1:11" ht="14.25" x14ac:dyDescent="0.2">
      <c r="A26" s="38" t="s">
        <v>63</v>
      </c>
      <c r="B26" s="104">
        <v>9.85</v>
      </c>
      <c r="C26" s="104" t="s">
        <v>10</v>
      </c>
      <c r="D26" s="104">
        <v>18</v>
      </c>
      <c r="E26" s="104">
        <v>17.5</v>
      </c>
      <c r="F26" s="104">
        <v>23.3</v>
      </c>
      <c r="G26" s="104">
        <v>9.92</v>
      </c>
      <c r="H26" s="1"/>
    </row>
    <row r="27" spans="1:11" ht="14.25" x14ac:dyDescent="0.2">
      <c r="A27" s="38" t="s">
        <v>64</v>
      </c>
      <c r="B27" s="104">
        <v>9.84</v>
      </c>
      <c r="C27" s="104" t="s">
        <v>10</v>
      </c>
      <c r="D27" s="104">
        <v>17.899999999999999</v>
      </c>
      <c r="E27" s="104">
        <v>18.5</v>
      </c>
      <c r="F27" s="104">
        <v>22.7</v>
      </c>
      <c r="G27" s="104">
        <v>10.1</v>
      </c>
      <c r="H27" s="1"/>
    </row>
    <row r="28" spans="1:11" ht="14.25" x14ac:dyDescent="0.2">
      <c r="A28" s="38" t="s">
        <v>65</v>
      </c>
      <c r="B28" s="104">
        <v>9.5500000000000007</v>
      </c>
      <c r="C28" s="104" t="s">
        <v>10</v>
      </c>
      <c r="D28" s="104">
        <v>17.7</v>
      </c>
      <c r="E28" s="104">
        <v>17.2</v>
      </c>
      <c r="F28" s="104">
        <v>22.7</v>
      </c>
      <c r="G28" s="104">
        <v>9.98</v>
      </c>
      <c r="H28" s="1"/>
    </row>
    <row r="29" spans="1:11" ht="14.25" x14ac:dyDescent="0.2">
      <c r="A29" s="38" t="s">
        <v>67</v>
      </c>
      <c r="B29" s="104">
        <v>9.08</v>
      </c>
      <c r="C29" s="104" t="s">
        <v>10</v>
      </c>
      <c r="D29" s="104">
        <v>17.399999999999999</v>
      </c>
      <c r="E29" s="104">
        <v>17.100000000000001</v>
      </c>
      <c r="F29" s="104">
        <v>22.4</v>
      </c>
      <c r="G29" s="104">
        <v>9.9600000000000009</v>
      </c>
      <c r="H29" s="1"/>
    </row>
    <row r="30" spans="1:11" ht="14.25" x14ac:dyDescent="0.2">
      <c r="A30" s="38" t="s">
        <v>68</v>
      </c>
      <c r="B30" s="104">
        <v>8.59</v>
      </c>
      <c r="C30" s="104">
        <v>134</v>
      </c>
      <c r="D30" s="104">
        <v>16.899999999999999</v>
      </c>
      <c r="E30" s="104">
        <v>15.3</v>
      </c>
      <c r="F30" s="104">
        <v>22</v>
      </c>
      <c r="G30" s="104">
        <v>10.199999999999999</v>
      </c>
      <c r="H30" s="1"/>
    </row>
    <row r="31" spans="1:11" ht="14.25" x14ac:dyDescent="0.2">
      <c r="A31" s="41"/>
      <c r="B31" s="104"/>
      <c r="C31" s="104"/>
      <c r="D31" s="104"/>
      <c r="E31" s="104"/>
      <c r="F31" s="104"/>
      <c r="G31" s="104"/>
    </row>
    <row r="32" spans="1:11" ht="14.25" x14ac:dyDescent="0.2">
      <c r="A32" s="65" t="s">
        <v>163</v>
      </c>
      <c r="B32" s="104"/>
      <c r="C32" s="104"/>
      <c r="D32" s="104"/>
      <c r="E32" s="104"/>
      <c r="F32" s="104"/>
      <c r="G32" s="104"/>
    </row>
    <row r="33" spans="1:7" ht="14.25" x14ac:dyDescent="0.2">
      <c r="A33" s="41" t="s">
        <v>70</v>
      </c>
      <c r="B33" s="104">
        <v>8.77</v>
      </c>
      <c r="C33" s="104">
        <v>141</v>
      </c>
      <c r="D33" s="104">
        <v>16.7</v>
      </c>
      <c r="E33" s="104">
        <v>15.2</v>
      </c>
      <c r="F33" s="104">
        <v>22.3</v>
      </c>
      <c r="G33" s="104">
        <v>9.7899999999999991</v>
      </c>
    </row>
    <row r="34" spans="1:7" ht="14.25" x14ac:dyDescent="0.2">
      <c r="A34" s="41" t="s">
        <v>57</v>
      </c>
      <c r="B34" s="104">
        <v>8.58</v>
      </c>
      <c r="C34" s="104">
        <v>146</v>
      </c>
      <c r="D34" s="104">
        <v>16.7</v>
      </c>
      <c r="E34" s="104">
        <v>15.6</v>
      </c>
      <c r="F34" s="104">
        <v>21.8</v>
      </c>
      <c r="G34" s="104">
        <v>9.7899999999999991</v>
      </c>
    </row>
    <row r="35" spans="1:7" ht="14.25" x14ac:dyDescent="0.2">
      <c r="A35" s="41" t="s">
        <v>58</v>
      </c>
      <c r="B35" s="104">
        <v>8.3699999999999992</v>
      </c>
      <c r="C35" s="104">
        <v>152</v>
      </c>
      <c r="D35" s="104">
        <v>17</v>
      </c>
      <c r="E35" s="104">
        <v>16</v>
      </c>
      <c r="F35" s="104">
        <v>21.6</v>
      </c>
      <c r="G35" s="104">
        <v>9.76</v>
      </c>
    </row>
    <row r="36" spans="1:7" ht="14.25" x14ac:dyDescent="0.2">
      <c r="A36" s="41" t="s">
        <v>59</v>
      </c>
      <c r="B36" s="104">
        <v>8.57</v>
      </c>
      <c r="C36" s="104">
        <v>163</v>
      </c>
      <c r="D36" s="104">
        <v>16.399999999999999</v>
      </c>
      <c r="E36" s="104">
        <v>16.3</v>
      </c>
      <c r="F36" s="104">
        <v>20.5</v>
      </c>
      <c r="G36" s="104">
        <v>9.66</v>
      </c>
    </row>
    <row r="37" spans="1:7" ht="14.25" x14ac:dyDescent="0.2">
      <c r="A37" s="41" t="s">
        <v>60</v>
      </c>
      <c r="B37" s="104">
        <v>8.6300000000000008</v>
      </c>
      <c r="C37" s="104">
        <v>165</v>
      </c>
      <c r="D37" s="104">
        <v>17.399999999999999</v>
      </c>
      <c r="E37" s="104">
        <v>16.7</v>
      </c>
      <c r="F37" s="104">
        <v>22.7</v>
      </c>
      <c r="G37" s="104">
        <v>9.75</v>
      </c>
    </row>
    <row r="38" spans="1:7" ht="14.25" x14ac:dyDescent="0.2">
      <c r="A38" s="41" t="s">
        <v>61</v>
      </c>
      <c r="B38" s="104">
        <v>8.52</v>
      </c>
      <c r="C38" s="104">
        <v>174</v>
      </c>
      <c r="D38" s="104">
        <v>18</v>
      </c>
      <c r="E38" s="104">
        <v>16.2</v>
      </c>
      <c r="F38" s="104">
        <v>22.3</v>
      </c>
      <c r="G38" s="104">
        <v>9.7899999999999991</v>
      </c>
    </row>
    <row r="39" spans="1:7" ht="14.25" x14ac:dyDescent="0.2">
      <c r="A39" s="41" t="s">
        <v>62</v>
      </c>
      <c r="B39" s="104">
        <v>8.52</v>
      </c>
      <c r="C39" s="104" t="s">
        <v>10</v>
      </c>
      <c r="D39" s="104">
        <v>17.8</v>
      </c>
      <c r="E39" s="104">
        <v>15.8</v>
      </c>
      <c r="F39" s="104">
        <v>19.8</v>
      </c>
      <c r="G39" s="104">
        <v>10.1</v>
      </c>
    </row>
    <row r="40" spans="1:7" ht="14.25" x14ac:dyDescent="0.2">
      <c r="A40" s="41" t="s">
        <v>63</v>
      </c>
      <c r="B40" s="104">
        <v>8.2799999999999994</v>
      </c>
      <c r="C40" s="104" t="s">
        <v>10</v>
      </c>
      <c r="D40" s="104">
        <v>17.600000000000001</v>
      </c>
      <c r="E40" s="104">
        <v>15.8</v>
      </c>
      <c r="F40" s="104">
        <v>20.3</v>
      </c>
      <c r="G40" s="104">
        <v>9.93</v>
      </c>
    </row>
    <row r="41" spans="1:7" ht="14.25" x14ac:dyDescent="0.2">
      <c r="A41" s="41" t="s">
        <v>64</v>
      </c>
      <c r="B41" s="104">
        <v>8.02</v>
      </c>
      <c r="C41" s="104" t="s">
        <v>10</v>
      </c>
      <c r="D41" s="104">
        <v>18.3</v>
      </c>
      <c r="E41" s="104">
        <v>15.2</v>
      </c>
      <c r="F41" s="104">
        <v>20.5</v>
      </c>
      <c r="G41" s="104">
        <v>9.5399999999999991</v>
      </c>
    </row>
    <row r="42" spans="1:7" ht="14.25" x14ac:dyDescent="0.2">
      <c r="A42" s="41" t="s">
        <v>65</v>
      </c>
      <c r="B42" s="104">
        <v>8.31</v>
      </c>
      <c r="C42" s="104" t="s">
        <v>10</v>
      </c>
      <c r="D42" s="104">
        <v>17.899999999999999</v>
      </c>
      <c r="E42" s="104">
        <v>14.9</v>
      </c>
      <c r="F42" s="104">
        <v>21.5</v>
      </c>
      <c r="G42" s="104">
        <v>9.07</v>
      </c>
    </row>
    <row r="43" spans="1:7" ht="14.25" x14ac:dyDescent="0.2">
      <c r="A43" s="37" t="s">
        <v>67</v>
      </c>
      <c r="B43" s="110">
        <v>8.3699999999999992</v>
      </c>
      <c r="C43" s="110" t="s">
        <v>10</v>
      </c>
      <c r="D43" s="110">
        <v>18.100000000000001</v>
      </c>
      <c r="E43" s="110">
        <v>14.8</v>
      </c>
      <c r="F43" s="110">
        <v>20.6</v>
      </c>
      <c r="G43" s="110">
        <v>9.1</v>
      </c>
    </row>
    <row r="44" spans="1:7" ht="16.5" x14ac:dyDescent="0.2">
      <c r="A44" s="38" t="s">
        <v>140</v>
      </c>
      <c r="B44" s="38"/>
      <c r="C44" s="38"/>
      <c r="D44" s="38"/>
      <c r="E44" s="38"/>
      <c r="F44" s="38"/>
      <c r="G44" s="38"/>
    </row>
    <row r="45" spans="1:7" ht="14.25" x14ac:dyDescent="0.2">
      <c r="A45" s="38" t="s">
        <v>56</v>
      </c>
      <c r="B45" s="111"/>
      <c r="C45" s="111" t="s">
        <v>105</v>
      </c>
      <c r="D45" s="111"/>
      <c r="E45" s="111"/>
      <c r="F45" s="111"/>
      <c r="G45" s="111"/>
    </row>
    <row r="46" spans="1:7" ht="14.25" x14ac:dyDescent="0.2">
      <c r="A46" s="38" t="s">
        <v>141</v>
      </c>
      <c r="B46" s="38"/>
      <c r="C46" s="38"/>
      <c r="D46" s="38"/>
      <c r="E46" s="38"/>
      <c r="F46" s="38"/>
      <c r="G46" s="38"/>
    </row>
    <row r="47" spans="1:7" ht="14.25" x14ac:dyDescent="0.2">
      <c r="A47" s="38" t="s">
        <v>26</v>
      </c>
      <c r="B47" s="71">
        <f ca="1">NOW()</f>
        <v>43724.400166319443</v>
      </c>
      <c r="C47" s="38"/>
      <c r="D47" s="38"/>
      <c r="E47" s="38"/>
      <c r="F47" s="38"/>
      <c r="G47" s="38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7"/>
  <sheetViews>
    <sheetView showGridLines="0" zoomScaleNormal="100" workbookViewId="0"/>
  </sheetViews>
  <sheetFormatPr defaultRowHeight="12.75" x14ac:dyDescent="0.2"/>
  <cols>
    <col min="1" max="2" width="11.7109375" customWidth="1"/>
    <col min="3" max="3" width="11.5703125" customWidth="1"/>
    <col min="4" max="4" width="13.7109375" customWidth="1"/>
    <col min="5" max="5" width="10.5703125" customWidth="1"/>
    <col min="6" max="7" width="10.7109375" customWidth="1"/>
    <col min="8" max="9" width="10.5703125" customWidth="1"/>
  </cols>
  <sheetData>
    <row r="1" spans="1:9" ht="14.25" x14ac:dyDescent="0.2">
      <c r="A1" s="37" t="s">
        <v>22</v>
      </c>
      <c r="B1" s="37"/>
      <c r="C1" s="37"/>
      <c r="D1" s="37"/>
      <c r="E1" s="37"/>
      <c r="F1" s="37"/>
      <c r="G1" s="37"/>
      <c r="H1" s="37"/>
      <c r="I1" s="38"/>
    </row>
    <row r="2" spans="1:9" ht="15.6" customHeight="1" x14ac:dyDescent="0.2">
      <c r="A2" s="112" t="s">
        <v>15</v>
      </c>
      <c r="B2" s="80" t="s">
        <v>44</v>
      </c>
      <c r="C2" s="80" t="s">
        <v>17</v>
      </c>
      <c r="D2" s="80" t="s">
        <v>88</v>
      </c>
      <c r="E2" s="113" t="s">
        <v>52</v>
      </c>
      <c r="F2" s="113" t="s">
        <v>45</v>
      </c>
      <c r="G2" s="80" t="s">
        <v>49</v>
      </c>
      <c r="H2" s="80" t="s">
        <v>142</v>
      </c>
      <c r="I2" s="114" t="s">
        <v>48</v>
      </c>
    </row>
    <row r="3" spans="1:9" ht="15.6" customHeight="1" x14ac:dyDescent="0.2">
      <c r="A3" s="85" t="s">
        <v>16</v>
      </c>
      <c r="B3" s="45" t="s">
        <v>143</v>
      </c>
      <c r="C3" s="45" t="s">
        <v>144</v>
      </c>
      <c r="D3" s="45" t="s">
        <v>145</v>
      </c>
      <c r="E3" s="45" t="s">
        <v>145</v>
      </c>
      <c r="F3" s="45" t="s">
        <v>146</v>
      </c>
      <c r="G3" s="45" t="s">
        <v>147</v>
      </c>
      <c r="H3" s="45"/>
      <c r="I3" s="45" t="s">
        <v>148</v>
      </c>
    </row>
    <row r="4" spans="1:9" ht="14.25" x14ac:dyDescent="0.2">
      <c r="A4" s="38"/>
      <c r="B4" s="57" t="s">
        <v>106</v>
      </c>
      <c r="C4" s="115"/>
      <c r="D4" s="115"/>
      <c r="E4" s="115"/>
      <c r="F4" s="115"/>
      <c r="G4" s="115"/>
      <c r="H4" s="115"/>
      <c r="I4" s="115"/>
    </row>
    <row r="5" spans="1:9" ht="14.25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ht="14.25" x14ac:dyDescent="0.2">
      <c r="A6" s="38" t="s">
        <v>54</v>
      </c>
      <c r="B6" s="104">
        <v>35.950000000000003</v>
      </c>
      <c r="C6" s="104">
        <v>40.270000000000003</v>
      </c>
      <c r="D6" s="104">
        <v>52.8</v>
      </c>
      <c r="E6" s="104">
        <v>42.88</v>
      </c>
      <c r="F6" s="104">
        <v>59.62</v>
      </c>
      <c r="G6" s="104">
        <v>39.29</v>
      </c>
      <c r="H6" s="104">
        <v>31.99</v>
      </c>
      <c r="I6" s="104">
        <v>32.26</v>
      </c>
    </row>
    <row r="7" spans="1:9" ht="14.25" x14ac:dyDescent="0.2">
      <c r="A7" s="38" t="s">
        <v>55</v>
      </c>
      <c r="B7" s="104">
        <v>53.2</v>
      </c>
      <c r="C7" s="104">
        <v>54.5</v>
      </c>
      <c r="D7" s="104">
        <v>86.12</v>
      </c>
      <c r="E7" s="104">
        <v>58.68</v>
      </c>
      <c r="F7" s="104">
        <v>77.239999999999995</v>
      </c>
      <c r="G7" s="104">
        <v>60.76</v>
      </c>
      <c r="H7" s="104">
        <v>51.52</v>
      </c>
      <c r="I7" s="104">
        <v>51.34</v>
      </c>
    </row>
    <row r="8" spans="1:9" ht="14.25" x14ac:dyDescent="0.2">
      <c r="A8" s="38" t="s">
        <v>66</v>
      </c>
      <c r="B8" s="104">
        <v>51.9</v>
      </c>
      <c r="C8" s="104">
        <v>53.22</v>
      </c>
      <c r="D8" s="104">
        <v>83.2</v>
      </c>
      <c r="E8" s="104">
        <v>57.19</v>
      </c>
      <c r="F8" s="104">
        <v>100.15</v>
      </c>
      <c r="G8" s="104">
        <v>56.09</v>
      </c>
      <c r="H8" s="104">
        <v>48.11</v>
      </c>
      <c r="I8" s="104">
        <v>50.33</v>
      </c>
    </row>
    <row r="9" spans="1:9" ht="14.25" x14ac:dyDescent="0.2">
      <c r="A9" s="38" t="s">
        <v>90</v>
      </c>
      <c r="B9" s="104">
        <v>47.13</v>
      </c>
      <c r="C9" s="104">
        <v>48.6</v>
      </c>
      <c r="D9" s="104">
        <v>65.87</v>
      </c>
      <c r="E9" s="104">
        <v>56.17</v>
      </c>
      <c r="F9" s="104">
        <v>91.83</v>
      </c>
      <c r="G9" s="104">
        <v>46.66</v>
      </c>
      <c r="H9" s="104">
        <v>51.8</v>
      </c>
      <c r="I9" s="104">
        <v>43.24</v>
      </c>
    </row>
    <row r="10" spans="1:9" ht="14.25" x14ac:dyDescent="0.2">
      <c r="A10" s="38" t="s">
        <v>97</v>
      </c>
      <c r="B10" s="104">
        <v>38.229999999999997</v>
      </c>
      <c r="C10" s="104">
        <v>60.66</v>
      </c>
      <c r="D10" s="104">
        <v>59.12</v>
      </c>
      <c r="E10" s="104">
        <v>43.7</v>
      </c>
      <c r="F10" s="104">
        <v>68.23</v>
      </c>
      <c r="G10" s="104">
        <v>39.43</v>
      </c>
      <c r="H10" s="104">
        <v>43.93</v>
      </c>
      <c r="I10" s="104">
        <v>39.76</v>
      </c>
    </row>
    <row r="11" spans="1:9" ht="14.25" x14ac:dyDescent="0.2">
      <c r="A11" s="38" t="s">
        <v>100</v>
      </c>
      <c r="B11" s="104">
        <v>31.6</v>
      </c>
      <c r="C11" s="104">
        <v>45.74</v>
      </c>
      <c r="D11" s="104">
        <v>66.72</v>
      </c>
      <c r="E11" s="104">
        <v>37.81</v>
      </c>
      <c r="F11" s="104">
        <v>57.96</v>
      </c>
      <c r="G11" s="104">
        <v>37.479999999999997</v>
      </c>
      <c r="H11" s="104">
        <v>33.43</v>
      </c>
      <c r="I11" s="104">
        <v>31.36</v>
      </c>
    </row>
    <row r="12" spans="1:9" ht="14.25" x14ac:dyDescent="0.2">
      <c r="A12" s="38" t="s">
        <v>101</v>
      </c>
      <c r="B12" s="104">
        <v>29.86</v>
      </c>
      <c r="C12" s="104">
        <v>45.87</v>
      </c>
      <c r="D12" s="104">
        <v>57.81</v>
      </c>
      <c r="E12" s="104">
        <v>35.270000000000003</v>
      </c>
      <c r="F12" s="104">
        <v>58.26</v>
      </c>
      <c r="G12" s="104">
        <v>39.25</v>
      </c>
      <c r="H12" s="104">
        <v>32.229999999999997</v>
      </c>
      <c r="I12" s="104">
        <v>30.07</v>
      </c>
    </row>
    <row r="13" spans="1:9" ht="14.25" x14ac:dyDescent="0.2">
      <c r="A13" s="38" t="s">
        <v>117</v>
      </c>
      <c r="B13" s="104">
        <v>32.549999999999997</v>
      </c>
      <c r="C13" s="104">
        <v>40.92</v>
      </c>
      <c r="D13" s="104">
        <v>53.54</v>
      </c>
      <c r="E13" s="104">
        <v>38.729999999999997</v>
      </c>
      <c r="F13" s="104">
        <v>66.73</v>
      </c>
      <c r="G13" s="104">
        <v>37.43</v>
      </c>
      <c r="H13" s="104">
        <v>33.07</v>
      </c>
      <c r="I13" s="104">
        <v>34.75</v>
      </c>
    </row>
    <row r="14" spans="1:9" ht="14.25" x14ac:dyDescent="0.2">
      <c r="A14" s="38" t="s">
        <v>119</v>
      </c>
      <c r="B14" s="104">
        <v>30.04</v>
      </c>
      <c r="C14" s="104">
        <v>31.87</v>
      </c>
      <c r="D14" s="104">
        <v>54.57</v>
      </c>
      <c r="E14" s="104">
        <v>38.270000000000003</v>
      </c>
      <c r="F14" s="104">
        <v>66.72</v>
      </c>
      <c r="G14" s="104">
        <v>30.35</v>
      </c>
      <c r="H14" s="104">
        <v>34.159999999999997</v>
      </c>
      <c r="I14" s="104">
        <v>31.21</v>
      </c>
    </row>
    <row r="15" spans="1:9" ht="16.5" x14ac:dyDescent="0.2">
      <c r="A15" s="38" t="s">
        <v>161</v>
      </c>
      <c r="B15" s="104">
        <v>28</v>
      </c>
      <c r="C15" s="104">
        <v>35</v>
      </c>
      <c r="D15" s="104">
        <v>53</v>
      </c>
      <c r="E15" s="104">
        <v>36</v>
      </c>
      <c r="F15" s="104">
        <v>64.72</v>
      </c>
      <c r="G15" s="104">
        <v>26.75</v>
      </c>
      <c r="H15" s="104">
        <v>31.5</v>
      </c>
      <c r="I15" s="104">
        <v>33.25</v>
      </c>
    </row>
    <row r="16" spans="1:9" ht="16.5" x14ac:dyDescent="0.2">
      <c r="A16" s="38" t="s">
        <v>169</v>
      </c>
      <c r="B16" s="104">
        <v>29.5</v>
      </c>
      <c r="C16" s="104">
        <v>34</v>
      </c>
      <c r="D16" s="104">
        <v>54.5</v>
      </c>
      <c r="E16" s="104">
        <v>36.5</v>
      </c>
      <c r="F16" s="104">
        <v>66.5</v>
      </c>
      <c r="G16" s="104">
        <v>28.5</v>
      </c>
      <c r="H16" s="104">
        <v>33.5</v>
      </c>
      <c r="I16" s="104">
        <v>34.5</v>
      </c>
    </row>
    <row r="17" spans="1:15" ht="14.25" x14ac:dyDescent="0.2">
      <c r="A17" s="38"/>
      <c r="B17" s="54"/>
      <c r="C17" s="107"/>
      <c r="D17" s="116"/>
      <c r="E17" s="116"/>
      <c r="F17" s="116"/>
      <c r="G17" s="116"/>
      <c r="H17" s="38"/>
      <c r="I17" s="38"/>
    </row>
    <row r="18" spans="1:15" ht="14.25" x14ac:dyDescent="0.2">
      <c r="A18" s="38" t="s">
        <v>119</v>
      </c>
      <c r="B18" s="104"/>
      <c r="C18" s="104"/>
      <c r="D18" s="104"/>
      <c r="E18" s="104"/>
      <c r="F18" s="104"/>
      <c r="G18" s="104"/>
      <c r="H18" s="104"/>
      <c r="I18" s="104"/>
    </row>
    <row r="19" spans="1:15" ht="14.25" x14ac:dyDescent="0.2">
      <c r="A19" s="38" t="s">
        <v>57</v>
      </c>
      <c r="B19" s="104">
        <v>32.35</v>
      </c>
      <c r="C19" s="104">
        <v>37.06</v>
      </c>
      <c r="D19" s="104">
        <v>56</v>
      </c>
      <c r="E19" s="104">
        <v>39.06</v>
      </c>
      <c r="F19" s="104">
        <v>65.44</v>
      </c>
      <c r="G19" s="104">
        <v>34.96</v>
      </c>
      <c r="H19" s="104">
        <v>36</v>
      </c>
      <c r="I19" s="104">
        <v>32.06</v>
      </c>
      <c r="K19" s="7"/>
      <c r="L19" s="7"/>
      <c r="M19" s="7"/>
      <c r="N19" s="7"/>
      <c r="O19" s="7"/>
    </row>
    <row r="20" spans="1:15" ht="14.25" x14ac:dyDescent="0.2">
      <c r="A20" s="38" t="s">
        <v>58</v>
      </c>
      <c r="B20" s="104">
        <v>33.43</v>
      </c>
      <c r="C20" s="104">
        <v>37</v>
      </c>
      <c r="D20" s="104">
        <v>55.5</v>
      </c>
      <c r="E20" s="104">
        <v>39.69</v>
      </c>
      <c r="F20" s="104">
        <v>65</v>
      </c>
      <c r="G20" s="104">
        <v>34.46</v>
      </c>
      <c r="H20" s="104">
        <v>38.17</v>
      </c>
      <c r="I20" s="104">
        <v>33.44</v>
      </c>
      <c r="K20" s="7"/>
      <c r="L20" s="7"/>
      <c r="M20" s="7"/>
      <c r="N20" s="7"/>
      <c r="O20" s="7"/>
    </row>
    <row r="21" spans="1:15" ht="14.25" x14ac:dyDescent="0.2">
      <c r="A21" s="38" t="s">
        <v>59</v>
      </c>
      <c r="B21" s="104">
        <v>32.270000000000003</v>
      </c>
      <c r="C21" s="104">
        <v>34.25</v>
      </c>
      <c r="D21" s="104">
        <v>54.8</v>
      </c>
      <c r="E21" s="104">
        <v>38.65</v>
      </c>
      <c r="F21" s="104">
        <v>65.2</v>
      </c>
      <c r="G21" s="104">
        <v>33.96</v>
      </c>
      <c r="H21" s="104">
        <v>37</v>
      </c>
      <c r="I21" s="104">
        <v>31.63</v>
      </c>
    </row>
    <row r="22" spans="1:15" ht="14.25" x14ac:dyDescent="0.2">
      <c r="A22" s="38" t="s">
        <v>60</v>
      </c>
      <c r="B22" s="104">
        <v>31.61</v>
      </c>
      <c r="C22" s="104">
        <v>32.75</v>
      </c>
      <c r="D22" s="104">
        <v>55.5</v>
      </c>
      <c r="E22" s="104">
        <v>38.31</v>
      </c>
      <c r="F22" s="104">
        <v>66.13</v>
      </c>
      <c r="G22" s="104">
        <v>30.68</v>
      </c>
      <c r="H22" s="104">
        <v>32.08</v>
      </c>
      <c r="I22" s="104" t="s">
        <v>10</v>
      </c>
    </row>
    <row r="23" spans="1:15" ht="14.25" x14ac:dyDescent="0.2">
      <c r="A23" s="38" t="s">
        <v>61</v>
      </c>
      <c r="B23" s="104">
        <v>30.63</v>
      </c>
      <c r="C23" s="104">
        <v>31.44</v>
      </c>
      <c r="D23" s="104">
        <v>55</v>
      </c>
      <c r="E23" s="104">
        <v>37.44</v>
      </c>
      <c r="F23" s="104">
        <v>66.63</v>
      </c>
      <c r="G23" s="104">
        <v>29.72</v>
      </c>
      <c r="H23" s="104">
        <v>32.200000000000003</v>
      </c>
      <c r="I23" s="104">
        <v>31</v>
      </c>
    </row>
    <row r="24" spans="1:15" ht="14.25" x14ac:dyDescent="0.2">
      <c r="A24" s="38" t="s">
        <v>62</v>
      </c>
      <c r="B24" s="104">
        <v>30.28</v>
      </c>
      <c r="C24" s="104">
        <v>31.35</v>
      </c>
      <c r="D24" s="104">
        <v>54</v>
      </c>
      <c r="E24" s="104">
        <v>37.1</v>
      </c>
      <c r="F24" s="104">
        <v>67</v>
      </c>
      <c r="G24" s="104">
        <v>29.66</v>
      </c>
      <c r="H24" s="104" t="s">
        <v>10</v>
      </c>
      <c r="I24" s="104" t="s">
        <v>10</v>
      </c>
    </row>
    <row r="25" spans="1:15" ht="14.25" x14ac:dyDescent="0.2">
      <c r="A25" s="38" t="s">
        <v>63</v>
      </c>
      <c r="B25" s="104">
        <v>29.7</v>
      </c>
      <c r="C25" s="104">
        <v>31.19</v>
      </c>
      <c r="D25" s="104">
        <v>54</v>
      </c>
      <c r="E25" s="104">
        <v>37.31</v>
      </c>
      <c r="F25" s="104">
        <v>66.88</v>
      </c>
      <c r="G25" s="104">
        <v>29.5</v>
      </c>
      <c r="H25" s="104" t="s">
        <v>10</v>
      </c>
      <c r="I25" s="104">
        <v>29.5</v>
      </c>
    </row>
    <row r="26" spans="1:15" ht="14.25" x14ac:dyDescent="0.2">
      <c r="A26" s="38" t="s">
        <v>64</v>
      </c>
      <c r="B26" s="104">
        <v>29.4</v>
      </c>
      <c r="C26" s="104">
        <v>31.25</v>
      </c>
      <c r="D26" s="104">
        <v>54</v>
      </c>
      <c r="E26" s="104">
        <v>38.25</v>
      </c>
      <c r="F26" s="104">
        <v>66.5</v>
      </c>
      <c r="G26" s="104">
        <v>29.65</v>
      </c>
      <c r="H26" s="104" t="s">
        <v>10</v>
      </c>
      <c r="I26" s="104">
        <v>29</v>
      </c>
    </row>
    <row r="27" spans="1:15" ht="14.25" x14ac:dyDescent="0.2">
      <c r="A27" s="38" t="s">
        <v>65</v>
      </c>
      <c r="B27" s="104">
        <v>28.3</v>
      </c>
      <c r="C27" s="104">
        <v>29.9</v>
      </c>
      <c r="D27" s="104">
        <v>54</v>
      </c>
      <c r="E27" s="104">
        <v>37.75</v>
      </c>
      <c r="F27" s="104">
        <v>67.7</v>
      </c>
      <c r="G27" s="104">
        <v>29.54</v>
      </c>
      <c r="H27" s="104">
        <v>32.5</v>
      </c>
      <c r="I27" s="104">
        <v>30</v>
      </c>
    </row>
    <row r="28" spans="1:15" ht="14.25" x14ac:dyDescent="0.2">
      <c r="A28" s="38" t="s">
        <v>67</v>
      </c>
      <c r="B28" s="104">
        <v>27.21</v>
      </c>
      <c r="C28" s="104">
        <v>28.75</v>
      </c>
      <c r="D28" s="104">
        <v>54</v>
      </c>
      <c r="E28" s="104">
        <v>38.69</v>
      </c>
      <c r="F28" s="104">
        <v>68</v>
      </c>
      <c r="G28" s="104">
        <v>28.76</v>
      </c>
      <c r="H28" s="104" t="s">
        <v>10</v>
      </c>
      <c r="I28" s="104">
        <v>32.47</v>
      </c>
    </row>
    <row r="29" spans="1:15" ht="14.25" x14ac:dyDescent="0.2">
      <c r="A29" s="38" t="s">
        <v>68</v>
      </c>
      <c r="B29" s="104">
        <v>27.6</v>
      </c>
      <c r="C29" s="104">
        <v>28.6</v>
      </c>
      <c r="D29" s="104">
        <v>54</v>
      </c>
      <c r="E29" s="104">
        <v>38.75</v>
      </c>
      <c r="F29" s="104">
        <v>68</v>
      </c>
      <c r="G29" s="104">
        <v>26.8</v>
      </c>
      <c r="H29" s="104">
        <v>32.380000000000003</v>
      </c>
      <c r="I29" s="104">
        <v>32</v>
      </c>
    </row>
    <row r="30" spans="1:15" ht="14.25" x14ac:dyDescent="0.2">
      <c r="A30" s="38" t="s">
        <v>70</v>
      </c>
      <c r="B30" s="104">
        <v>27.73</v>
      </c>
      <c r="C30" s="104">
        <v>28.88</v>
      </c>
      <c r="D30" s="104">
        <v>54</v>
      </c>
      <c r="E30" s="104">
        <v>38.19</v>
      </c>
      <c r="F30" s="104">
        <v>67.63</v>
      </c>
      <c r="G30" s="104">
        <v>26.46</v>
      </c>
      <c r="H30" s="104">
        <v>32.93</v>
      </c>
      <c r="I30" s="104">
        <v>31</v>
      </c>
    </row>
    <row r="31" spans="1:15" ht="14.25" x14ac:dyDescent="0.2">
      <c r="A31" s="41"/>
      <c r="B31" s="104"/>
      <c r="C31" s="104"/>
      <c r="D31" s="104"/>
      <c r="E31" s="104"/>
      <c r="F31" s="104"/>
      <c r="G31" s="104"/>
      <c r="H31" s="104"/>
      <c r="I31" s="104"/>
    </row>
    <row r="32" spans="1:15" ht="14.25" x14ac:dyDescent="0.2">
      <c r="A32" s="38" t="s">
        <v>163</v>
      </c>
      <c r="B32" s="104"/>
      <c r="C32" s="104"/>
      <c r="D32" s="104"/>
      <c r="E32" s="104"/>
      <c r="F32" s="104"/>
      <c r="G32" s="104"/>
      <c r="H32" s="104"/>
      <c r="I32" s="104"/>
    </row>
    <row r="33" spans="1:9" ht="14.25" x14ac:dyDescent="0.2">
      <c r="A33" s="41" t="s">
        <v>57</v>
      </c>
      <c r="B33" s="104">
        <v>28.89</v>
      </c>
      <c r="C33" s="104">
        <v>30.56</v>
      </c>
      <c r="D33" s="104">
        <v>54</v>
      </c>
      <c r="E33" s="104">
        <v>38.94</v>
      </c>
      <c r="F33" s="104">
        <v>66.63</v>
      </c>
      <c r="G33" s="104">
        <v>27.18</v>
      </c>
      <c r="H33" s="104">
        <v>33</v>
      </c>
      <c r="I33" s="104">
        <v>31.29</v>
      </c>
    </row>
    <row r="34" spans="1:9" ht="14.25" x14ac:dyDescent="0.2">
      <c r="A34" s="41" t="s">
        <v>58</v>
      </c>
      <c r="B34" s="104">
        <v>27.492999999999999</v>
      </c>
      <c r="C34" s="104">
        <v>31.45</v>
      </c>
      <c r="D34" s="104">
        <v>52.8</v>
      </c>
      <c r="E34" s="104">
        <v>37.450000000000003</v>
      </c>
      <c r="F34" s="104">
        <v>64.8</v>
      </c>
      <c r="G34" s="104">
        <v>26.37</v>
      </c>
      <c r="H34" s="104">
        <v>34.33</v>
      </c>
      <c r="I34" s="104">
        <v>35</v>
      </c>
    </row>
    <row r="35" spans="1:9" ht="14.25" x14ac:dyDescent="0.2">
      <c r="A35" s="41" t="s">
        <v>59</v>
      </c>
      <c r="B35" s="104">
        <v>28.14</v>
      </c>
      <c r="C35" s="104">
        <v>32.06</v>
      </c>
      <c r="D35" s="104">
        <v>53.5</v>
      </c>
      <c r="E35" s="104">
        <v>36.75</v>
      </c>
      <c r="F35" s="104">
        <v>62.25</v>
      </c>
      <c r="G35" s="104">
        <v>26.46</v>
      </c>
      <c r="H35" s="104">
        <v>31</v>
      </c>
      <c r="I35" s="104">
        <v>32.5</v>
      </c>
    </row>
    <row r="36" spans="1:9" ht="14.25" x14ac:dyDescent="0.2">
      <c r="A36" s="41" t="s">
        <v>60</v>
      </c>
      <c r="B36" s="104">
        <v>28.44</v>
      </c>
      <c r="C36" s="104">
        <v>33.94</v>
      </c>
      <c r="D36" s="104">
        <v>53.5</v>
      </c>
      <c r="E36" s="104">
        <v>37.130000000000003</v>
      </c>
      <c r="F36" s="104">
        <v>61.88</v>
      </c>
      <c r="G36" s="104">
        <v>26.21</v>
      </c>
      <c r="H36" s="104" t="s">
        <v>10</v>
      </c>
      <c r="I36" s="104">
        <v>33.130000000000003</v>
      </c>
    </row>
    <row r="37" spans="1:9" ht="14.25" x14ac:dyDescent="0.2">
      <c r="A37" s="41" t="s">
        <v>61</v>
      </c>
      <c r="B37" s="104">
        <v>29.58</v>
      </c>
      <c r="C37" s="104">
        <v>36.44</v>
      </c>
      <c r="D37" s="104">
        <v>53</v>
      </c>
      <c r="E37" s="104">
        <v>37.75</v>
      </c>
      <c r="F37" s="104">
        <v>61.13</v>
      </c>
      <c r="G37" s="104">
        <v>25.65</v>
      </c>
      <c r="H37" s="104" t="s">
        <v>10</v>
      </c>
      <c r="I37" s="104">
        <v>33</v>
      </c>
    </row>
    <row r="38" spans="1:9" ht="14.25" x14ac:dyDescent="0.2">
      <c r="A38" s="41" t="s">
        <v>62</v>
      </c>
      <c r="B38" s="104">
        <v>28.62</v>
      </c>
      <c r="C38" s="104">
        <v>35.700000000000003</v>
      </c>
      <c r="D38" s="104">
        <v>53.2</v>
      </c>
      <c r="E38" s="104">
        <v>36.15</v>
      </c>
      <c r="F38" s="104">
        <v>61</v>
      </c>
      <c r="G38" s="104">
        <v>26.72</v>
      </c>
      <c r="H38" s="104" t="s">
        <v>10</v>
      </c>
      <c r="I38" s="104">
        <v>32.15</v>
      </c>
    </row>
    <row r="39" spans="1:9" ht="14.25" x14ac:dyDescent="0.2">
      <c r="A39" s="41" t="s">
        <v>63</v>
      </c>
      <c r="B39" s="104">
        <v>27.86</v>
      </c>
      <c r="C39" s="104">
        <v>37.130000000000003</v>
      </c>
      <c r="D39" s="104">
        <v>54</v>
      </c>
      <c r="E39" s="104">
        <v>35.44</v>
      </c>
      <c r="F39" s="104">
        <v>65.25</v>
      </c>
      <c r="G39" s="104">
        <v>27.94</v>
      </c>
      <c r="H39" s="104" t="s">
        <v>10</v>
      </c>
      <c r="I39" s="104">
        <v>31.86</v>
      </c>
    </row>
    <row r="40" spans="1:9" ht="14.25" x14ac:dyDescent="0.2">
      <c r="A40" s="41" t="s">
        <v>64</v>
      </c>
      <c r="B40" s="104">
        <v>26.93</v>
      </c>
      <c r="C40" s="104">
        <v>35.65</v>
      </c>
      <c r="D40" s="104">
        <v>53.4</v>
      </c>
      <c r="E40" s="104">
        <v>34.1</v>
      </c>
      <c r="F40" s="104">
        <v>66</v>
      </c>
      <c r="G40" s="104">
        <v>27.76</v>
      </c>
      <c r="H40" s="104" t="s">
        <v>10</v>
      </c>
      <c r="I40" s="104">
        <v>33.700000000000003</v>
      </c>
    </row>
    <row r="41" spans="1:9" ht="14.25" x14ac:dyDescent="0.2">
      <c r="A41" s="41" t="s">
        <v>65</v>
      </c>
      <c r="B41" s="104">
        <v>28.24</v>
      </c>
      <c r="C41" s="104">
        <v>36.69</v>
      </c>
      <c r="D41" s="104">
        <v>51</v>
      </c>
      <c r="E41" s="104">
        <v>34.630000000000003</v>
      </c>
      <c r="F41" s="104">
        <v>66</v>
      </c>
      <c r="G41" s="104">
        <v>27.38</v>
      </c>
      <c r="H41" s="104" t="s">
        <v>10</v>
      </c>
      <c r="I41" s="104" t="s">
        <v>10</v>
      </c>
    </row>
    <row r="42" spans="1:9" ht="14.25" x14ac:dyDescent="0.2">
      <c r="A42" s="41" t="s">
        <v>67</v>
      </c>
      <c r="B42" s="104">
        <v>27.68</v>
      </c>
      <c r="C42" s="104">
        <v>37.5</v>
      </c>
      <c r="D42" s="104">
        <v>52.5</v>
      </c>
      <c r="E42" s="104">
        <v>34.56</v>
      </c>
      <c r="F42" s="104">
        <v>66.13</v>
      </c>
      <c r="G42" s="104">
        <v>26.75</v>
      </c>
      <c r="H42" s="104" t="s">
        <v>10</v>
      </c>
      <c r="I42" s="104">
        <v>35</v>
      </c>
    </row>
    <row r="43" spans="1:9" ht="14.25" x14ac:dyDescent="0.2">
      <c r="A43" s="37" t="s">
        <v>68</v>
      </c>
      <c r="B43" s="110">
        <v>28.41</v>
      </c>
      <c r="C43" s="110">
        <v>36.450000000000003</v>
      </c>
      <c r="D43" s="110">
        <v>53.4</v>
      </c>
      <c r="E43" s="110">
        <v>35.25</v>
      </c>
      <c r="F43" s="110">
        <v>66</v>
      </c>
      <c r="G43" s="110">
        <v>27.31</v>
      </c>
      <c r="H43" s="110" t="s">
        <v>10</v>
      </c>
      <c r="I43" s="110" t="s">
        <v>10</v>
      </c>
    </row>
    <row r="44" spans="1:9" ht="16.5" x14ac:dyDescent="0.2">
      <c r="A44" s="79" t="s">
        <v>158</v>
      </c>
      <c r="B44" s="117"/>
      <c r="C44" s="117"/>
      <c r="D44" s="117"/>
      <c r="E44" s="117"/>
      <c r="F44" s="117"/>
      <c r="G44" s="117"/>
      <c r="H44" s="117"/>
      <c r="I44" s="117"/>
    </row>
    <row r="45" spans="1:9" ht="16.5" x14ac:dyDescent="0.2">
      <c r="A45" s="38" t="s">
        <v>159</v>
      </c>
      <c r="B45" s="117"/>
      <c r="C45" s="117"/>
      <c r="D45" s="117"/>
      <c r="E45" s="117"/>
      <c r="F45" s="117"/>
      <c r="G45" s="117"/>
      <c r="H45" s="117"/>
      <c r="I45" s="117"/>
    </row>
    <row r="46" spans="1:9" ht="14.25" x14ac:dyDescent="0.2">
      <c r="A46" s="38" t="s">
        <v>149</v>
      </c>
      <c r="B46" s="38"/>
      <c r="C46" s="38"/>
      <c r="D46" s="38"/>
      <c r="E46" s="38"/>
      <c r="F46" s="117"/>
      <c r="G46" s="38"/>
      <c r="H46" s="38"/>
      <c r="I46" s="38"/>
    </row>
    <row r="47" spans="1:9" ht="14.25" x14ac:dyDescent="0.2">
      <c r="A47" s="38" t="s">
        <v>26</v>
      </c>
      <c r="B47" s="71">
        <f ca="1">NOW()</f>
        <v>43724.400166319443</v>
      </c>
      <c r="C47" s="38"/>
      <c r="D47" s="38"/>
      <c r="E47" s="38"/>
      <c r="F47" s="38"/>
      <c r="G47" s="38"/>
      <c r="H47" s="38"/>
      <c r="I47" s="38"/>
    </row>
    <row r="48" spans="1:9" ht="15.75" x14ac:dyDescent="0.25">
      <c r="C48" s="14"/>
      <c r="G48" s="14"/>
      <c r="H48" s="14"/>
      <c r="I48" s="14"/>
    </row>
    <row r="49" spans="3:9" ht="15.75" x14ac:dyDescent="0.25">
      <c r="C49" s="14"/>
      <c r="G49" s="14"/>
      <c r="H49" s="14"/>
      <c r="I49" s="14"/>
    </row>
    <row r="50" spans="3:9" ht="15.75" x14ac:dyDescent="0.25">
      <c r="C50" s="14"/>
      <c r="G50" s="14"/>
      <c r="H50" s="14"/>
      <c r="I50" s="14"/>
    </row>
    <row r="51" spans="3:9" ht="15.75" x14ac:dyDescent="0.25">
      <c r="C51" s="14"/>
      <c r="G51" s="14"/>
      <c r="H51" s="14"/>
      <c r="I51" s="14"/>
    </row>
    <row r="52" spans="3:9" ht="15.75" x14ac:dyDescent="0.25">
      <c r="C52" s="14"/>
      <c r="G52" s="14"/>
      <c r="H52" s="14"/>
      <c r="I52" s="14"/>
    </row>
    <row r="53" spans="3:9" ht="15.75" x14ac:dyDescent="0.25">
      <c r="C53" s="14"/>
      <c r="G53" s="14"/>
      <c r="H53" s="14"/>
      <c r="I53" s="14"/>
    </row>
    <row r="54" spans="3:9" ht="15.75" x14ac:dyDescent="0.25">
      <c r="C54" s="14"/>
      <c r="G54" s="14"/>
      <c r="H54" s="14"/>
      <c r="I54" s="14"/>
    </row>
    <row r="55" spans="3:9" ht="15.75" x14ac:dyDescent="0.25">
      <c r="C55" s="14"/>
      <c r="G55" s="14"/>
      <c r="H55" s="14"/>
      <c r="I55" s="14"/>
    </row>
    <row r="56" spans="3:9" ht="15.75" x14ac:dyDescent="0.25">
      <c r="C56" s="14"/>
      <c r="G56" s="14"/>
      <c r="H56" s="14"/>
      <c r="I56" s="14"/>
    </row>
    <row r="57" spans="3:9" ht="15.75" x14ac:dyDescent="0.25">
      <c r="C57" s="14"/>
      <c r="G57" s="14"/>
      <c r="H57" s="14"/>
      <c r="I57" s="14"/>
    </row>
    <row r="58" spans="3:9" ht="15.75" x14ac:dyDescent="0.25">
      <c r="C58" s="14"/>
      <c r="G58" s="14"/>
      <c r="H58" s="14"/>
      <c r="I58" s="14"/>
    </row>
    <row r="59" spans="3:9" ht="15.75" x14ac:dyDescent="0.25">
      <c r="C59" s="14"/>
      <c r="G59" s="14"/>
      <c r="H59" s="14"/>
      <c r="I59" s="14"/>
    </row>
    <row r="60" spans="3:9" ht="15.75" x14ac:dyDescent="0.25">
      <c r="C60" s="14"/>
      <c r="G60" s="14"/>
      <c r="H60" s="14"/>
      <c r="I60" s="14"/>
    </row>
    <row r="61" spans="3:9" ht="15.75" x14ac:dyDescent="0.25">
      <c r="C61" s="14"/>
      <c r="G61" s="14"/>
      <c r="H61" s="14"/>
      <c r="I61" s="14"/>
    </row>
    <row r="62" spans="3:9" ht="15.75" x14ac:dyDescent="0.25">
      <c r="C62" s="14"/>
      <c r="G62" s="14"/>
      <c r="H62" s="14"/>
      <c r="I62" s="14"/>
    </row>
    <row r="63" spans="3:9" ht="15.75" x14ac:dyDescent="0.25">
      <c r="C63" s="14"/>
      <c r="G63" s="14"/>
      <c r="H63" s="14"/>
      <c r="I63" s="14"/>
    </row>
    <row r="64" spans="3:9" ht="15.75" x14ac:dyDescent="0.25">
      <c r="C64" s="14"/>
      <c r="H64" s="14"/>
      <c r="I64" s="14"/>
    </row>
    <row r="65" spans="3:9" ht="15.75" x14ac:dyDescent="0.25">
      <c r="C65" s="14"/>
      <c r="H65" s="14"/>
      <c r="I65" s="14"/>
    </row>
    <row r="66" spans="3:9" ht="15.75" x14ac:dyDescent="0.25">
      <c r="C66" s="14"/>
      <c r="F66" s="16"/>
      <c r="H66" s="14"/>
      <c r="I66" s="14"/>
    </row>
    <row r="67" spans="3:9" ht="15.75" x14ac:dyDescent="0.25">
      <c r="F67" s="16"/>
      <c r="H67" s="14"/>
      <c r="I67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59"/>
  <sheetViews>
    <sheetView showGridLines="0" zoomScaleNormal="100" workbookViewId="0"/>
  </sheetViews>
  <sheetFormatPr defaultRowHeight="12.75" x14ac:dyDescent="0.2"/>
  <cols>
    <col min="1" max="1" width="11.7109375" customWidth="1"/>
    <col min="2" max="7" width="13.7109375" customWidth="1"/>
  </cols>
  <sheetData>
    <row r="1" spans="1:8" ht="14.25" x14ac:dyDescent="0.2">
      <c r="A1" s="37" t="s">
        <v>43</v>
      </c>
      <c r="B1" s="37"/>
      <c r="C1" s="37"/>
      <c r="D1" s="37"/>
      <c r="E1" s="37"/>
      <c r="F1" s="37"/>
      <c r="G1" s="37"/>
    </row>
    <row r="2" spans="1:8" ht="15.6" customHeight="1" x14ac:dyDescent="0.2">
      <c r="A2" s="41" t="s">
        <v>15</v>
      </c>
      <c r="B2" s="80" t="s">
        <v>44</v>
      </c>
      <c r="C2" s="118" t="s">
        <v>17</v>
      </c>
      <c r="D2" s="118" t="s">
        <v>88</v>
      </c>
      <c r="E2" s="118" t="s">
        <v>45</v>
      </c>
      <c r="F2" s="80" t="s">
        <v>46</v>
      </c>
      <c r="G2" s="40" t="s">
        <v>47</v>
      </c>
    </row>
    <row r="3" spans="1:8" ht="15.6" customHeight="1" x14ac:dyDescent="0.2">
      <c r="A3" s="37" t="s">
        <v>16</v>
      </c>
      <c r="B3" s="45" t="s">
        <v>150</v>
      </c>
      <c r="C3" s="45" t="s">
        <v>151</v>
      </c>
      <c r="D3" s="45" t="s">
        <v>152</v>
      </c>
      <c r="E3" s="45" t="s">
        <v>153</v>
      </c>
      <c r="F3" s="45" t="s">
        <v>154</v>
      </c>
      <c r="G3" s="45" t="s">
        <v>155</v>
      </c>
    </row>
    <row r="4" spans="1:8" ht="14.25" x14ac:dyDescent="0.2">
      <c r="A4" s="38"/>
      <c r="B4" s="57" t="s">
        <v>107</v>
      </c>
      <c r="C4" s="115"/>
      <c r="D4" s="115"/>
      <c r="E4" s="115"/>
      <c r="F4" s="115"/>
      <c r="G4" s="115"/>
    </row>
    <row r="5" spans="1:8" ht="14.25" x14ac:dyDescent="0.2">
      <c r="A5" s="38"/>
      <c r="B5" s="38"/>
      <c r="C5" s="38"/>
      <c r="D5" s="38"/>
      <c r="E5" s="38"/>
      <c r="F5" s="38"/>
      <c r="G5" s="38"/>
    </row>
    <row r="6" spans="1:8" ht="14.25" x14ac:dyDescent="0.2">
      <c r="A6" s="38" t="s">
        <v>54</v>
      </c>
      <c r="B6" s="104">
        <v>311.27</v>
      </c>
      <c r="C6" s="104">
        <v>220.9</v>
      </c>
      <c r="D6" s="104">
        <v>151.04</v>
      </c>
      <c r="E6" s="119" t="s">
        <v>10</v>
      </c>
      <c r="F6" s="104">
        <v>224.92</v>
      </c>
      <c r="G6" s="104">
        <v>209.23</v>
      </c>
      <c r="H6" s="16"/>
    </row>
    <row r="7" spans="1:8" ht="14.25" x14ac:dyDescent="0.2">
      <c r="A7" s="38" t="s">
        <v>55</v>
      </c>
      <c r="B7" s="104">
        <v>345.52</v>
      </c>
      <c r="C7" s="104">
        <v>273.83999999999997</v>
      </c>
      <c r="D7" s="104">
        <v>219.72</v>
      </c>
      <c r="E7" s="119" t="s">
        <v>10</v>
      </c>
      <c r="F7" s="104">
        <v>263.63</v>
      </c>
      <c r="G7" s="104">
        <v>240.65</v>
      </c>
      <c r="H7" s="16"/>
    </row>
    <row r="8" spans="1:8" ht="14.25" x14ac:dyDescent="0.2">
      <c r="A8" s="38" t="s">
        <v>66</v>
      </c>
      <c r="B8" s="104">
        <v>393.53</v>
      </c>
      <c r="C8" s="104">
        <v>275.13</v>
      </c>
      <c r="D8" s="104">
        <v>246.75</v>
      </c>
      <c r="E8" s="119" t="s">
        <v>10</v>
      </c>
      <c r="F8" s="104">
        <v>307.58999999999997</v>
      </c>
      <c r="G8" s="104">
        <v>265.68</v>
      </c>
      <c r="H8" s="16"/>
    </row>
    <row r="9" spans="1:8" ht="14.25" x14ac:dyDescent="0.2">
      <c r="A9" s="38" t="s">
        <v>90</v>
      </c>
      <c r="B9" s="104">
        <v>468.11</v>
      </c>
      <c r="C9" s="104">
        <v>331.52</v>
      </c>
      <c r="D9" s="104">
        <v>241.57</v>
      </c>
      <c r="E9" s="119" t="s">
        <v>10</v>
      </c>
      <c r="F9" s="104">
        <v>354.22</v>
      </c>
      <c r="G9" s="104">
        <v>329.31</v>
      </c>
      <c r="H9" s="16"/>
    </row>
    <row r="10" spans="1:8" ht="14.25" x14ac:dyDescent="0.2">
      <c r="A10" s="38" t="s">
        <v>97</v>
      </c>
      <c r="B10" s="104">
        <v>489.94</v>
      </c>
      <c r="C10" s="104">
        <v>377.71</v>
      </c>
      <c r="D10" s="104">
        <v>238.87</v>
      </c>
      <c r="E10" s="119" t="s">
        <v>10</v>
      </c>
      <c r="F10" s="104">
        <v>359.7</v>
      </c>
      <c r="G10" s="104">
        <v>337.23</v>
      </c>
      <c r="H10" s="16"/>
    </row>
    <row r="11" spans="1:8" ht="14.25" x14ac:dyDescent="0.2">
      <c r="A11" s="38" t="s">
        <v>100</v>
      </c>
      <c r="B11" s="104">
        <v>368.49</v>
      </c>
      <c r="C11" s="104">
        <v>304.27</v>
      </c>
      <c r="D11" s="104">
        <v>209.97</v>
      </c>
      <c r="E11" s="119" t="s">
        <v>10</v>
      </c>
      <c r="F11" s="104">
        <v>301.2</v>
      </c>
      <c r="G11" s="104">
        <v>256.58</v>
      </c>
      <c r="H11" s="16"/>
    </row>
    <row r="12" spans="1:8" ht="14.25" x14ac:dyDescent="0.2">
      <c r="A12" s="38" t="s">
        <v>101</v>
      </c>
      <c r="B12" s="104">
        <v>324.56</v>
      </c>
      <c r="C12" s="104">
        <v>261.19</v>
      </c>
      <c r="D12" s="104">
        <v>153.16999999999999</v>
      </c>
      <c r="E12" s="119" t="s">
        <v>10</v>
      </c>
      <c r="F12" s="104">
        <v>262.2</v>
      </c>
      <c r="G12" s="104">
        <v>260.23</v>
      </c>
    </row>
    <row r="13" spans="1:8" ht="14.25" x14ac:dyDescent="0.2">
      <c r="A13" s="38" t="s">
        <v>117</v>
      </c>
      <c r="B13" s="104">
        <v>316.88</v>
      </c>
      <c r="C13" s="104">
        <v>208.61</v>
      </c>
      <c r="D13" s="104">
        <v>145.1</v>
      </c>
      <c r="E13" s="119" t="s">
        <v>10</v>
      </c>
      <c r="F13" s="104">
        <v>267.94</v>
      </c>
      <c r="G13" s="104">
        <v>282.49</v>
      </c>
    </row>
    <row r="14" spans="1:8" ht="14.25" x14ac:dyDescent="0.2">
      <c r="A14" s="38" t="s">
        <v>119</v>
      </c>
      <c r="B14" s="104">
        <v>345.02</v>
      </c>
      <c r="C14" s="104">
        <v>260.88</v>
      </c>
      <c r="D14" s="104">
        <v>173.53</v>
      </c>
      <c r="E14" s="119" t="s">
        <v>10</v>
      </c>
      <c r="F14" s="104">
        <v>291.14999999999998</v>
      </c>
      <c r="G14" s="104">
        <v>239.15</v>
      </c>
    </row>
    <row r="15" spans="1:8" ht="16.5" x14ac:dyDescent="0.2">
      <c r="A15" s="38" t="s">
        <v>161</v>
      </c>
      <c r="B15" s="104">
        <v>310</v>
      </c>
      <c r="C15" s="104">
        <v>230</v>
      </c>
      <c r="D15" s="128">
        <v>165</v>
      </c>
      <c r="E15" s="119" t="s">
        <v>10</v>
      </c>
      <c r="F15" s="104">
        <v>275</v>
      </c>
      <c r="G15" s="104">
        <v>226</v>
      </c>
    </row>
    <row r="16" spans="1:8" ht="16.5" x14ac:dyDescent="0.2">
      <c r="A16" s="38" t="s">
        <v>169</v>
      </c>
      <c r="B16" s="104">
        <v>305</v>
      </c>
      <c r="C16" s="104">
        <v>235</v>
      </c>
      <c r="D16" s="128">
        <v>170</v>
      </c>
      <c r="E16" s="119" t="s">
        <v>10</v>
      </c>
      <c r="F16" s="104">
        <v>250</v>
      </c>
      <c r="G16" s="104">
        <v>215</v>
      </c>
    </row>
    <row r="17" spans="1:13" ht="14.25" x14ac:dyDescent="0.2">
      <c r="A17" s="120"/>
      <c r="B17" s="104"/>
      <c r="C17" s="104"/>
      <c r="D17" s="104"/>
      <c r="E17" s="119"/>
      <c r="F17" s="104"/>
      <c r="G17" s="104"/>
      <c r="H17" s="13"/>
    </row>
    <row r="18" spans="1:13" ht="14.25" x14ac:dyDescent="0.2">
      <c r="A18" s="38" t="s">
        <v>119</v>
      </c>
      <c r="B18" s="104"/>
      <c r="C18" s="104"/>
      <c r="D18" s="104"/>
      <c r="E18" s="119"/>
      <c r="F18" s="104"/>
      <c r="G18" s="104"/>
      <c r="H18" s="13"/>
    </row>
    <row r="19" spans="1:13" ht="14.25" x14ac:dyDescent="0.2">
      <c r="A19" s="38" t="s">
        <v>57</v>
      </c>
      <c r="B19" s="104">
        <v>315.23</v>
      </c>
      <c r="C19" s="104">
        <v>229</v>
      </c>
      <c r="D19" s="104">
        <v>153</v>
      </c>
      <c r="E19" s="119" t="s">
        <v>10</v>
      </c>
      <c r="F19" s="104">
        <v>257.73</v>
      </c>
      <c r="G19" s="104">
        <v>214</v>
      </c>
      <c r="H19" s="13"/>
      <c r="I19" s="7"/>
      <c r="J19" s="7"/>
      <c r="K19" s="7"/>
      <c r="L19" s="7"/>
      <c r="M19" s="7"/>
    </row>
    <row r="20" spans="1:13" ht="14.25" x14ac:dyDescent="0.2">
      <c r="A20" s="38" t="s">
        <v>58</v>
      </c>
      <c r="B20" s="104">
        <v>313.52</v>
      </c>
      <c r="C20" s="104">
        <v>228.75</v>
      </c>
      <c r="D20" s="104">
        <v>165</v>
      </c>
      <c r="E20" s="119" t="s">
        <v>10</v>
      </c>
      <c r="F20" s="104">
        <v>255.74</v>
      </c>
      <c r="G20" s="104">
        <v>205</v>
      </c>
      <c r="H20" s="13"/>
      <c r="I20" s="7"/>
      <c r="J20" s="7"/>
      <c r="K20" s="7"/>
      <c r="L20" s="7"/>
      <c r="M20" s="7"/>
    </row>
    <row r="21" spans="1:13" ht="14.25" x14ac:dyDescent="0.2">
      <c r="A21" s="38" t="s">
        <v>59</v>
      </c>
      <c r="B21" s="104">
        <v>319.22000000000003</v>
      </c>
      <c r="C21" s="104">
        <v>232.5</v>
      </c>
      <c r="D21" s="104">
        <v>185</v>
      </c>
      <c r="E21" s="119" t="s">
        <v>10</v>
      </c>
      <c r="F21" s="104">
        <v>266.52999999999997</v>
      </c>
      <c r="G21" s="104">
        <v>209.17</v>
      </c>
      <c r="H21" s="13"/>
    </row>
    <row r="22" spans="1:13" ht="14.25" x14ac:dyDescent="0.2">
      <c r="A22" s="38" t="s">
        <v>60</v>
      </c>
      <c r="B22" s="104">
        <v>322.60000000000002</v>
      </c>
      <c r="C22" s="104">
        <v>259</v>
      </c>
      <c r="D22" s="104">
        <v>178</v>
      </c>
      <c r="E22" s="119" t="s">
        <v>10</v>
      </c>
      <c r="F22" s="104">
        <v>270.2</v>
      </c>
      <c r="G22" s="104">
        <v>215.5</v>
      </c>
      <c r="H22" s="13"/>
    </row>
    <row r="23" spans="1:13" ht="14.25" x14ac:dyDescent="0.2">
      <c r="A23" s="38" t="s">
        <v>61</v>
      </c>
      <c r="B23" s="104">
        <v>362.85</v>
      </c>
      <c r="C23" s="104">
        <v>303.13</v>
      </c>
      <c r="D23" s="104">
        <v>185.63</v>
      </c>
      <c r="E23" s="119" t="s">
        <v>10</v>
      </c>
      <c r="F23" s="104">
        <v>315.95</v>
      </c>
      <c r="G23" s="104">
        <v>233.13</v>
      </c>
      <c r="H23" s="13"/>
    </row>
    <row r="24" spans="1:13" ht="14.25" x14ac:dyDescent="0.2">
      <c r="A24" s="38" t="s">
        <v>62</v>
      </c>
      <c r="B24" s="104">
        <v>379.85</v>
      </c>
      <c r="C24" s="104">
        <v>323.13</v>
      </c>
      <c r="D24" s="104">
        <v>187.5</v>
      </c>
      <c r="E24" s="119" t="s">
        <v>10</v>
      </c>
      <c r="F24" s="104">
        <v>334.58</v>
      </c>
      <c r="G24" s="104">
        <v>237.5</v>
      </c>
      <c r="H24" s="13"/>
    </row>
    <row r="25" spans="1:13" ht="14.25" x14ac:dyDescent="0.2">
      <c r="A25" s="38" t="s">
        <v>63</v>
      </c>
      <c r="B25" s="104">
        <v>385.84</v>
      </c>
      <c r="C25" s="104">
        <v>263.13</v>
      </c>
      <c r="D25" s="104">
        <v>191.88</v>
      </c>
      <c r="E25" s="119" t="s">
        <v>10</v>
      </c>
      <c r="F25" s="104">
        <v>332.16</v>
      </c>
      <c r="G25" s="104">
        <v>238.13</v>
      </c>
      <c r="H25" s="13"/>
    </row>
    <row r="26" spans="1:13" ht="14.25" x14ac:dyDescent="0.2">
      <c r="A26" s="38" t="s">
        <v>64</v>
      </c>
      <c r="B26" s="104">
        <v>393.55</v>
      </c>
      <c r="C26" s="104">
        <v>262.5</v>
      </c>
      <c r="D26" s="104">
        <v>201.5</v>
      </c>
      <c r="E26" s="119" t="s">
        <v>10</v>
      </c>
      <c r="F26" s="104">
        <v>336.93</v>
      </c>
      <c r="G26" s="104">
        <v>267.5</v>
      </c>
      <c r="H26" s="13"/>
    </row>
    <row r="27" spans="1:13" ht="14.25" x14ac:dyDescent="0.2">
      <c r="A27" s="38" t="s">
        <v>65</v>
      </c>
      <c r="B27" s="104">
        <v>355.71</v>
      </c>
      <c r="C27" s="104">
        <v>257.5</v>
      </c>
      <c r="D27" s="104">
        <v>175.63</v>
      </c>
      <c r="E27" s="119" t="s">
        <v>10</v>
      </c>
      <c r="F27" s="104">
        <v>302.75</v>
      </c>
      <c r="G27" s="104">
        <v>271.25</v>
      </c>
      <c r="H27" s="13"/>
    </row>
    <row r="28" spans="1:13" ht="14.25" x14ac:dyDescent="0.2">
      <c r="A28" s="38" t="s">
        <v>67</v>
      </c>
      <c r="B28" s="104">
        <v>341.08</v>
      </c>
      <c r="C28" s="104">
        <v>253.13</v>
      </c>
      <c r="D28" s="104">
        <v>155.5</v>
      </c>
      <c r="E28" s="119" t="s">
        <v>10</v>
      </c>
      <c r="F28" s="104">
        <v>279.83999999999997</v>
      </c>
      <c r="G28" s="104">
        <v>278</v>
      </c>
      <c r="H28" s="13"/>
    </row>
    <row r="29" spans="1:13" ht="14.25" x14ac:dyDescent="0.2">
      <c r="A29" s="38" t="s">
        <v>68</v>
      </c>
      <c r="B29" s="104">
        <v>332.5</v>
      </c>
      <c r="C29" s="104">
        <v>260</v>
      </c>
      <c r="D29" s="104">
        <v>153.13</v>
      </c>
      <c r="E29" s="119" t="s">
        <v>10</v>
      </c>
      <c r="F29" s="104">
        <v>274.55</v>
      </c>
      <c r="G29" s="104">
        <v>265.63</v>
      </c>
      <c r="H29" s="13"/>
    </row>
    <row r="30" spans="1:13" ht="14.25" x14ac:dyDescent="0.2">
      <c r="A30" s="38" t="s">
        <v>70</v>
      </c>
      <c r="B30" s="104">
        <v>318.32</v>
      </c>
      <c r="C30" s="104">
        <v>258.75</v>
      </c>
      <c r="D30" s="104">
        <v>150.63</v>
      </c>
      <c r="E30" s="119" t="s">
        <v>10</v>
      </c>
      <c r="F30" s="104">
        <v>266.86</v>
      </c>
      <c r="G30" s="104">
        <v>235</v>
      </c>
      <c r="H30" s="13"/>
    </row>
    <row r="31" spans="1:13" ht="14.25" x14ac:dyDescent="0.2">
      <c r="A31" s="120"/>
      <c r="B31" s="104"/>
      <c r="C31" s="104"/>
      <c r="D31" s="104"/>
      <c r="E31" s="119"/>
      <c r="F31" s="104"/>
      <c r="G31" s="104"/>
      <c r="I31" s="6"/>
      <c r="J31" s="6"/>
      <c r="K31" s="6"/>
      <c r="L31" s="6"/>
      <c r="M31" s="6"/>
    </row>
    <row r="32" spans="1:13" ht="14.25" x14ac:dyDescent="0.2">
      <c r="A32" s="38" t="s">
        <v>163</v>
      </c>
      <c r="B32" s="104"/>
      <c r="C32" s="104"/>
      <c r="D32" s="104"/>
      <c r="E32" s="119"/>
      <c r="F32" s="104"/>
      <c r="G32" s="104"/>
      <c r="I32" s="6"/>
      <c r="J32" s="6"/>
      <c r="K32" s="6"/>
      <c r="L32" s="6"/>
      <c r="M32" s="6"/>
    </row>
    <row r="33" spans="1:13" ht="14.25" x14ac:dyDescent="0.2">
      <c r="A33" s="120" t="s">
        <v>57</v>
      </c>
      <c r="B33" s="104">
        <v>319.14999999999998</v>
      </c>
      <c r="C33" s="104">
        <v>249</v>
      </c>
      <c r="D33" s="104">
        <v>164</v>
      </c>
      <c r="E33" s="119" t="s">
        <v>10</v>
      </c>
      <c r="F33" s="104">
        <v>279.39999999999998</v>
      </c>
      <c r="G33" s="104">
        <v>196.5</v>
      </c>
      <c r="I33" s="6"/>
      <c r="J33" s="6"/>
      <c r="K33" s="6"/>
      <c r="L33" s="6"/>
      <c r="M33" s="6"/>
    </row>
    <row r="34" spans="1:13" ht="14.25" x14ac:dyDescent="0.2">
      <c r="A34" s="120" t="s">
        <v>58</v>
      </c>
      <c r="B34" s="104">
        <v>310.61500000000001</v>
      </c>
      <c r="C34" s="104">
        <v>240</v>
      </c>
      <c r="D34" s="104">
        <v>171.25</v>
      </c>
      <c r="E34" s="119" t="s">
        <v>10</v>
      </c>
      <c r="F34" s="104">
        <v>279.16250000000002</v>
      </c>
      <c r="G34" s="104">
        <v>209.38</v>
      </c>
      <c r="I34" s="6"/>
      <c r="J34" s="6"/>
      <c r="K34" s="6"/>
      <c r="L34" s="6"/>
      <c r="M34" s="6"/>
    </row>
    <row r="35" spans="1:13" ht="14.25" x14ac:dyDescent="0.2">
      <c r="A35" s="38" t="s">
        <v>59</v>
      </c>
      <c r="B35" s="104">
        <v>311.7</v>
      </c>
      <c r="C35" s="104">
        <v>243.75</v>
      </c>
      <c r="D35" s="104">
        <v>187.5</v>
      </c>
      <c r="E35" s="119" t="s">
        <v>10</v>
      </c>
      <c r="F35" s="104">
        <v>291.42</v>
      </c>
      <c r="G35" s="104">
        <v>225.83</v>
      </c>
      <c r="I35" s="6"/>
      <c r="J35" s="6"/>
      <c r="K35" s="6"/>
      <c r="L35" s="6"/>
      <c r="M35" s="6"/>
    </row>
    <row r="36" spans="1:13" ht="14.25" x14ac:dyDescent="0.2">
      <c r="A36" s="38" t="s">
        <v>60</v>
      </c>
      <c r="B36" s="104">
        <v>314.92</v>
      </c>
      <c r="C36" s="104">
        <v>247.5</v>
      </c>
      <c r="D36" s="104">
        <v>190.5</v>
      </c>
      <c r="E36" s="119" t="s">
        <v>10</v>
      </c>
      <c r="F36" s="104" t="s">
        <v>10</v>
      </c>
      <c r="G36" s="104">
        <v>219</v>
      </c>
      <c r="I36" s="6"/>
      <c r="J36" s="6"/>
      <c r="K36" s="6"/>
      <c r="L36" s="6"/>
      <c r="M36" s="6"/>
    </row>
    <row r="37" spans="1:13" ht="14.25" x14ac:dyDescent="0.2">
      <c r="A37" s="38" t="s">
        <v>61</v>
      </c>
      <c r="B37" s="104">
        <v>306.83</v>
      </c>
      <c r="C37" s="104">
        <v>235</v>
      </c>
      <c r="D37" s="104">
        <v>187.5</v>
      </c>
      <c r="E37" s="119" t="s">
        <v>10</v>
      </c>
      <c r="F37" s="104" t="s">
        <v>10</v>
      </c>
      <c r="G37" s="104">
        <v>225</v>
      </c>
      <c r="I37" s="6"/>
      <c r="J37" s="6"/>
      <c r="K37" s="6"/>
      <c r="L37" s="6"/>
      <c r="M37" s="6"/>
    </row>
    <row r="38" spans="1:13" ht="14.25" x14ac:dyDescent="0.2">
      <c r="A38" s="38" t="s">
        <v>62</v>
      </c>
      <c r="B38" s="104">
        <v>306.38</v>
      </c>
      <c r="C38" s="104">
        <v>226.25</v>
      </c>
      <c r="D38" s="104">
        <v>189.38</v>
      </c>
      <c r="E38" s="119" t="s">
        <v>10</v>
      </c>
      <c r="F38" s="104" t="s">
        <v>10</v>
      </c>
      <c r="G38" s="104">
        <v>235.63</v>
      </c>
      <c r="I38" s="6"/>
      <c r="J38" s="6"/>
      <c r="K38" s="6"/>
      <c r="L38" s="6"/>
      <c r="M38" s="6"/>
    </row>
    <row r="39" spans="1:13" ht="14.25" x14ac:dyDescent="0.2">
      <c r="A39" s="38" t="s">
        <v>63</v>
      </c>
      <c r="B39" s="104">
        <v>304.26</v>
      </c>
      <c r="C39" s="104">
        <v>216.5</v>
      </c>
      <c r="D39" s="104">
        <v>166.5</v>
      </c>
      <c r="E39" s="119" t="s">
        <v>10</v>
      </c>
      <c r="F39" s="104" t="s">
        <v>10</v>
      </c>
      <c r="G39" s="104">
        <v>241.5</v>
      </c>
      <c r="I39" s="6"/>
      <c r="J39" s="6"/>
      <c r="K39" s="6"/>
      <c r="L39" s="6"/>
      <c r="M39" s="6"/>
    </row>
    <row r="40" spans="1:13" ht="14.25" x14ac:dyDescent="0.2">
      <c r="A40" s="38" t="s">
        <v>64</v>
      </c>
      <c r="B40" s="104">
        <v>297.52</v>
      </c>
      <c r="C40" s="104">
        <v>215</v>
      </c>
      <c r="D40" s="104">
        <v>141.25</v>
      </c>
      <c r="E40" s="119" t="s">
        <v>10</v>
      </c>
      <c r="F40" s="104">
        <v>259.55</v>
      </c>
      <c r="G40" s="104">
        <v>233.75</v>
      </c>
      <c r="I40" s="6"/>
      <c r="J40" s="6"/>
      <c r="K40" s="6"/>
      <c r="L40" s="6"/>
      <c r="M40" s="6"/>
    </row>
    <row r="41" spans="1:13" ht="14.25" x14ac:dyDescent="0.2">
      <c r="A41" s="38" t="s">
        <v>65</v>
      </c>
      <c r="B41" s="104">
        <v>324.75</v>
      </c>
      <c r="C41" s="104">
        <v>215.63</v>
      </c>
      <c r="D41" s="104">
        <v>143.13</v>
      </c>
      <c r="E41" s="119" t="s">
        <v>10</v>
      </c>
      <c r="F41" s="104">
        <v>278.76</v>
      </c>
      <c r="G41" s="104">
        <v>228.88</v>
      </c>
      <c r="I41" s="6"/>
      <c r="J41" s="6"/>
      <c r="K41" s="6"/>
      <c r="L41" s="6"/>
      <c r="M41" s="6"/>
    </row>
    <row r="42" spans="1:13" ht="14.25" x14ac:dyDescent="0.2">
      <c r="A42" s="38" t="s">
        <v>67</v>
      </c>
      <c r="B42" s="104">
        <v>310.77</v>
      </c>
      <c r="C42" s="104">
        <v>218</v>
      </c>
      <c r="D42" s="104">
        <v>142</v>
      </c>
      <c r="E42" s="119" t="s">
        <v>10</v>
      </c>
      <c r="F42" s="104">
        <v>265.45</v>
      </c>
      <c r="G42" s="104">
        <v>232.5</v>
      </c>
      <c r="I42" s="6"/>
      <c r="J42" s="6"/>
      <c r="K42" s="6"/>
      <c r="L42" s="6"/>
      <c r="M42" s="6"/>
    </row>
    <row r="43" spans="1:13" ht="14.25" x14ac:dyDescent="0.2">
      <c r="A43" s="121" t="s">
        <v>68</v>
      </c>
      <c r="B43" s="110">
        <v>296.92</v>
      </c>
      <c r="C43" s="110">
        <v>221.25</v>
      </c>
      <c r="D43" s="110">
        <v>144.38</v>
      </c>
      <c r="E43" s="122" t="s">
        <v>10</v>
      </c>
      <c r="F43" s="110" t="s">
        <v>10</v>
      </c>
      <c r="G43" s="110">
        <v>235</v>
      </c>
      <c r="I43" s="6"/>
      <c r="J43" s="6"/>
      <c r="K43" s="6"/>
      <c r="L43" s="6"/>
      <c r="M43" s="6"/>
    </row>
    <row r="44" spans="1:13" ht="16.5" x14ac:dyDescent="0.2">
      <c r="A44" s="79" t="s">
        <v>160</v>
      </c>
      <c r="B44" s="123"/>
      <c r="C44" s="123"/>
      <c r="D44" s="123"/>
      <c r="E44" s="123"/>
      <c r="F44" s="123"/>
      <c r="G44" s="123"/>
      <c r="I44" s="11"/>
      <c r="J44" s="6"/>
      <c r="K44" s="6"/>
      <c r="L44" s="6"/>
      <c r="M44" s="6"/>
    </row>
    <row r="45" spans="1:13" ht="16.5" x14ac:dyDescent="0.2">
      <c r="A45" s="79" t="s">
        <v>156</v>
      </c>
      <c r="B45" s="124"/>
      <c r="C45" s="124"/>
      <c r="D45" s="124"/>
      <c r="E45" s="124"/>
      <c r="F45" s="124"/>
      <c r="G45" s="124"/>
      <c r="I45" s="11"/>
      <c r="J45" s="6"/>
      <c r="K45" s="6"/>
      <c r="L45" s="6"/>
      <c r="M45" s="6"/>
    </row>
    <row r="46" spans="1:13" ht="14.25" x14ac:dyDescent="0.2">
      <c r="A46" s="38" t="s">
        <v>89</v>
      </c>
      <c r="B46" s="124"/>
      <c r="C46" s="124"/>
      <c r="D46" s="124"/>
      <c r="E46" s="124"/>
      <c r="F46" s="124"/>
      <c r="G46" s="124"/>
      <c r="H46" s="1"/>
      <c r="I46" s="11"/>
      <c r="J46" s="6"/>
      <c r="K46" s="6"/>
      <c r="L46" s="6"/>
      <c r="M46" s="6"/>
    </row>
    <row r="47" spans="1:13" ht="14.25" x14ac:dyDescent="0.2">
      <c r="A47" s="38" t="s">
        <v>157</v>
      </c>
      <c r="B47" s="38"/>
      <c r="C47" s="38"/>
      <c r="D47" s="38"/>
      <c r="E47" s="38"/>
      <c r="F47" s="38"/>
      <c r="G47" s="38"/>
      <c r="I47" s="11"/>
      <c r="J47" s="6"/>
      <c r="K47" s="6"/>
      <c r="L47" s="6"/>
      <c r="M47" s="6"/>
    </row>
    <row r="48" spans="1:13" ht="14.25" x14ac:dyDescent="0.2">
      <c r="A48" s="38" t="s">
        <v>26</v>
      </c>
      <c r="B48" s="71">
        <f ca="1">NOW()</f>
        <v>43724.400166319443</v>
      </c>
      <c r="C48" s="38"/>
      <c r="D48" s="38"/>
      <c r="E48" s="38"/>
      <c r="F48" s="38"/>
      <c r="G48" s="38"/>
      <c r="I48" s="12"/>
      <c r="J48" s="8"/>
      <c r="K48" s="8"/>
      <c r="L48" s="8"/>
      <c r="M48" s="8"/>
    </row>
    <row r="49" spans="6:13" ht="15.75" x14ac:dyDescent="0.25">
      <c r="F49" s="14"/>
      <c r="I49" s="12"/>
      <c r="J49" s="8"/>
      <c r="K49" s="8"/>
      <c r="L49" s="8"/>
      <c r="M49" s="8"/>
    </row>
    <row r="50" spans="6:13" x14ac:dyDescent="0.2">
      <c r="I50" s="11"/>
      <c r="J50" s="11"/>
      <c r="K50" s="6"/>
      <c r="L50" s="6"/>
      <c r="M50" s="6"/>
    </row>
    <row r="51" spans="6:13" x14ac:dyDescent="0.2">
      <c r="I51" s="11"/>
      <c r="J51" s="11"/>
      <c r="K51" s="6"/>
      <c r="L51" s="6"/>
      <c r="M51" s="6"/>
    </row>
    <row r="52" spans="6:13" x14ac:dyDescent="0.2">
      <c r="I52" s="11"/>
      <c r="J52" s="11"/>
      <c r="K52" s="6"/>
      <c r="L52" s="6"/>
      <c r="M52" s="6"/>
    </row>
    <row r="53" spans="6:13" x14ac:dyDescent="0.2">
      <c r="I53" s="11"/>
      <c r="J53" s="11"/>
      <c r="K53" s="6"/>
      <c r="L53" s="6"/>
      <c r="M53" s="6"/>
    </row>
    <row r="54" spans="6:13" x14ac:dyDescent="0.2">
      <c r="I54" s="11"/>
      <c r="J54" s="11"/>
      <c r="K54" s="6"/>
      <c r="L54" s="6"/>
      <c r="M54" s="6"/>
    </row>
    <row r="55" spans="6:13" x14ac:dyDescent="0.2">
      <c r="I55" s="11"/>
      <c r="J55" s="11"/>
      <c r="K55" s="6"/>
      <c r="L55" s="6"/>
      <c r="M55" s="6"/>
    </row>
    <row r="57" spans="6:13" x14ac:dyDescent="0.2">
      <c r="I57" s="9"/>
      <c r="J57" s="9"/>
      <c r="K57" s="9"/>
      <c r="L57" s="9"/>
      <c r="M57" s="9"/>
    </row>
    <row r="58" spans="6:13" x14ac:dyDescent="0.2">
      <c r="I58" s="9"/>
      <c r="J58" s="9"/>
      <c r="K58" s="9"/>
      <c r="L58" s="9"/>
      <c r="M58" s="9"/>
    </row>
    <row r="59" spans="6:13" x14ac:dyDescent="0.2">
      <c r="J59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58"/>
  <sheetViews>
    <sheetView zoomScale="110" zoomScaleNormal="110" workbookViewId="0">
      <selection activeCell="A2" sqref="A2"/>
    </sheetView>
  </sheetViews>
  <sheetFormatPr defaultRowHeight="12.75" x14ac:dyDescent="0.2"/>
  <cols>
    <col min="1" max="1" width="10.5703125" customWidth="1"/>
    <col min="2" max="2" width="9.7109375" customWidth="1"/>
    <col min="3" max="5" width="8.7109375" customWidth="1"/>
    <col min="6" max="11" width="10.5703125" customWidth="1"/>
  </cols>
  <sheetData>
    <row r="1" spans="1:7" x14ac:dyDescent="0.2">
      <c r="A1" s="149" t="s">
        <v>188</v>
      </c>
      <c r="B1" s="149"/>
      <c r="C1" s="149"/>
      <c r="D1" s="149"/>
      <c r="E1" s="149"/>
      <c r="F1" s="166"/>
      <c r="G1" s="166"/>
    </row>
    <row r="2" spans="1:7" ht="15.75" x14ac:dyDescent="0.25">
      <c r="B2" s="131" t="s">
        <v>187</v>
      </c>
      <c r="C2" s="65"/>
      <c r="D2" s="38"/>
      <c r="E2" s="65"/>
      <c r="F2" s="38"/>
      <c r="G2" s="65"/>
    </row>
    <row r="3" spans="1:7" x14ac:dyDescent="0.2">
      <c r="A3" s="154"/>
      <c r="B3" s="148"/>
      <c r="C3" s="148"/>
      <c r="D3" s="154"/>
      <c r="E3" s="130"/>
    </row>
    <row r="4" spans="1:7" x14ac:dyDescent="0.2">
      <c r="A4" t="s">
        <v>55</v>
      </c>
      <c r="B4" s="167">
        <v>215.01300000000001</v>
      </c>
      <c r="C4" s="167"/>
      <c r="D4" s="167"/>
      <c r="E4" s="167"/>
      <c r="F4" s="167"/>
      <c r="G4" s="167"/>
    </row>
    <row r="5" spans="1:7" x14ac:dyDescent="0.2">
      <c r="A5" t="s">
        <v>66</v>
      </c>
      <c r="B5" s="167">
        <v>169.37</v>
      </c>
      <c r="C5" s="167"/>
      <c r="D5" s="167"/>
      <c r="E5" s="167"/>
      <c r="F5" s="167"/>
      <c r="G5" s="167"/>
    </row>
    <row r="6" spans="1:7" x14ac:dyDescent="0.2">
      <c r="A6" t="s">
        <v>90</v>
      </c>
      <c r="B6" s="167">
        <v>140.55699999999999</v>
      </c>
      <c r="C6" s="167"/>
      <c r="D6" s="167"/>
      <c r="E6" s="167"/>
      <c r="F6" s="167"/>
      <c r="G6" s="167"/>
    </row>
    <row r="7" spans="1:7" x14ac:dyDescent="0.2">
      <c r="A7" s="165" t="s">
        <v>97</v>
      </c>
      <c r="B7" s="167">
        <v>91.991</v>
      </c>
      <c r="C7" s="167"/>
      <c r="D7" s="167"/>
      <c r="E7" s="167"/>
      <c r="F7" s="167"/>
      <c r="G7" s="167"/>
    </row>
    <row r="8" spans="1:7" x14ac:dyDescent="0.2">
      <c r="A8" s="165" t="s">
        <v>100</v>
      </c>
      <c r="B8" s="167">
        <v>190.61</v>
      </c>
      <c r="C8" s="167"/>
      <c r="D8" s="167"/>
      <c r="E8" s="167"/>
      <c r="F8" s="167"/>
      <c r="G8" s="167"/>
    </row>
    <row r="9" spans="1:7" x14ac:dyDescent="0.2">
      <c r="A9" s="165" t="s">
        <v>101</v>
      </c>
      <c r="B9" s="167">
        <v>196.72900000000001</v>
      </c>
      <c r="C9" s="167"/>
      <c r="D9" s="167"/>
      <c r="E9" s="167"/>
      <c r="F9" s="167"/>
      <c r="G9" s="167"/>
    </row>
    <row r="10" spans="1:7" x14ac:dyDescent="0.2">
      <c r="A10" s="165" t="s">
        <v>117</v>
      </c>
      <c r="B10" s="167">
        <v>301.59500000000003</v>
      </c>
      <c r="C10" s="167"/>
      <c r="D10" s="167"/>
      <c r="E10" s="167"/>
      <c r="F10" s="167"/>
      <c r="G10" s="167"/>
    </row>
    <row r="11" spans="1:7" x14ac:dyDescent="0.2">
      <c r="A11" s="165" t="s">
        <v>119</v>
      </c>
      <c r="B11" s="167">
        <v>438.10500000000002</v>
      </c>
      <c r="C11" s="167"/>
      <c r="D11" s="167"/>
      <c r="E11" s="167"/>
      <c r="F11" s="167"/>
      <c r="G11" s="167"/>
    </row>
    <row r="12" spans="1:7" x14ac:dyDescent="0.2">
      <c r="A12" s="165" t="s">
        <v>163</v>
      </c>
      <c r="B12" s="167">
        <v>1005</v>
      </c>
      <c r="C12" s="167"/>
      <c r="D12" s="167"/>
      <c r="E12" s="167"/>
      <c r="F12" s="167"/>
      <c r="G12" s="167"/>
    </row>
    <row r="13" spans="1:7" x14ac:dyDescent="0.2">
      <c r="A13" s="165" t="s">
        <v>171</v>
      </c>
      <c r="B13" s="167">
        <v>640</v>
      </c>
      <c r="C13" s="167"/>
      <c r="D13" s="167"/>
      <c r="E13" s="167"/>
      <c r="F13" s="167"/>
      <c r="G13" s="167"/>
    </row>
    <row r="14" spans="1:7" x14ac:dyDescent="0.2">
      <c r="A14" s="132"/>
      <c r="B14" s="167"/>
      <c r="C14" s="167"/>
      <c r="D14" s="167"/>
      <c r="E14" s="167"/>
      <c r="F14" s="167"/>
      <c r="G14" s="167"/>
    </row>
    <row r="15" spans="1:7" x14ac:dyDescent="0.2">
      <c r="A15" s="132"/>
      <c r="B15" s="167"/>
      <c r="C15" s="167"/>
      <c r="D15" s="167"/>
      <c r="E15" s="167"/>
      <c r="F15" s="167"/>
      <c r="G15" s="167"/>
    </row>
    <row r="16" spans="1:7" x14ac:dyDescent="0.2">
      <c r="A16" s="132"/>
      <c r="B16" s="167"/>
      <c r="C16" s="167"/>
      <c r="D16" s="167"/>
      <c r="E16" s="167"/>
      <c r="F16" s="167"/>
      <c r="G16" s="167"/>
    </row>
    <row r="17" spans="1:7" x14ac:dyDescent="0.2">
      <c r="A17" s="132"/>
      <c r="B17" s="167"/>
      <c r="C17" s="167"/>
      <c r="D17" s="167"/>
      <c r="E17" s="167"/>
      <c r="F17" s="167"/>
      <c r="G17" s="167"/>
    </row>
    <row r="18" spans="1:7" x14ac:dyDescent="0.2">
      <c r="A18" s="174"/>
      <c r="B18" s="167"/>
      <c r="C18" s="167"/>
      <c r="D18" s="167"/>
      <c r="E18" s="167"/>
      <c r="F18" s="167"/>
      <c r="G18" s="167"/>
    </row>
    <row r="19" spans="1:7" x14ac:dyDescent="0.2">
      <c r="A19" s="132"/>
      <c r="B19" s="161"/>
      <c r="C19" s="161"/>
      <c r="D19" s="167"/>
      <c r="E19" s="167"/>
      <c r="F19" s="167"/>
      <c r="G19" s="167"/>
    </row>
    <row r="20" spans="1:7" x14ac:dyDescent="0.2">
      <c r="A20" s="132"/>
      <c r="B20" s="161"/>
      <c r="C20" s="161"/>
      <c r="D20" s="167"/>
      <c r="E20" s="167"/>
      <c r="F20" s="167"/>
      <c r="G20" s="167"/>
    </row>
    <row r="21" spans="1:7" x14ac:dyDescent="0.2">
      <c r="A21" s="165"/>
      <c r="B21" s="161"/>
      <c r="C21" s="161"/>
      <c r="D21" s="155"/>
      <c r="E21" s="155"/>
    </row>
    <row r="22" spans="1:7" x14ac:dyDescent="0.2">
      <c r="A22" s="146"/>
      <c r="B22" s="161"/>
      <c r="C22" s="161"/>
      <c r="D22" s="155"/>
      <c r="E22" s="155"/>
    </row>
    <row r="23" spans="1:7" x14ac:dyDescent="0.2">
      <c r="A23" s="146"/>
      <c r="B23" s="161"/>
      <c r="C23" s="161"/>
      <c r="D23" s="155"/>
      <c r="E23" s="155"/>
    </row>
    <row r="24" spans="1:7" x14ac:dyDescent="0.2">
      <c r="A24" s="146"/>
      <c r="B24" s="161"/>
      <c r="C24" s="161"/>
      <c r="D24" s="155"/>
      <c r="E24" s="155"/>
    </row>
    <row r="25" spans="1:7" x14ac:dyDescent="0.2">
      <c r="A25" s="146"/>
      <c r="B25" s="161"/>
      <c r="C25" s="161"/>
      <c r="D25" s="155"/>
      <c r="E25" s="155"/>
    </row>
    <row r="26" spans="1:7" x14ac:dyDescent="0.2">
      <c r="C26" s="172"/>
      <c r="D26" s="155"/>
      <c r="E26" s="155"/>
    </row>
    <row r="27" spans="1:7" x14ac:dyDescent="0.2">
      <c r="C27" s="172"/>
      <c r="D27" s="155"/>
      <c r="E27" s="155"/>
    </row>
    <row r="28" spans="1:7" x14ac:dyDescent="0.2">
      <c r="C28" s="172"/>
      <c r="D28" s="155"/>
      <c r="E28" s="155"/>
    </row>
    <row r="29" spans="1:7" x14ac:dyDescent="0.2">
      <c r="C29" s="172"/>
      <c r="D29" s="155"/>
      <c r="E29" s="155"/>
    </row>
    <row r="30" spans="1:7" x14ac:dyDescent="0.2">
      <c r="C30" s="172"/>
      <c r="D30" s="155"/>
      <c r="E30" s="155"/>
    </row>
    <row r="31" spans="1:7" x14ac:dyDescent="0.2">
      <c r="C31" s="172"/>
    </row>
    <row r="32" spans="1:7" x14ac:dyDescent="0.2">
      <c r="C32" s="172"/>
    </row>
    <row r="33" spans="1:5" x14ac:dyDescent="0.2">
      <c r="C33" s="172"/>
    </row>
    <row r="34" spans="1:5" x14ac:dyDescent="0.2">
      <c r="C34" s="172"/>
    </row>
    <row r="35" spans="1:5" x14ac:dyDescent="0.2">
      <c r="C35" s="172"/>
    </row>
    <row r="36" spans="1:5" x14ac:dyDescent="0.2">
      <c r="C36" s="172"/>
    </row>
    <row r="37" spans="1:5" x14ac:dyDescent="0.2">
      <c r="C37" s="172"/>
    </row>
    <row r="38" spans="1:5" x14ac:dyDescent="0.2">
      <c r="C38" s="172"/>
      <c r="D38" s="13"/>
      <c r="E38" s="13"/>
    </row>
    <row r="39" spans="1:5" x14ac:dyDescent="0.2">
      <c r="C39" s="172"/>
      <c r="D39" s="13"/>
      <c r="E39" s="13"/>
    </row>
    <row r="40" spans="1:5" x14ac:dyDescent="0.2">
      <c r="C40" s="172"/>
      <c r="D40" s="13"/>
      <c r="E40" s="13"/>
    </row>
    <row r="41" spans="1:5" x14ac:dyDescent="0.2">
      <c r="C41" s="172"/>
      <c r="D41" s="13"/>
      <c r="E41" s="13"/>
    </row>
    <row r="42" spans="1:5" x14ac:dyDescent="0.2">
      <c r="C42" s="172"/>
      <c r="D42" s="13"/>
      <c r="E42" s="13"/>
    </row>
    <row r="43" spans="1:5" x14ac:dyDescent="0.2">
      <c r="C43" s="172"/>
      <c r="D43" s="13"/>
      <c r="E43" s="13"/>
    </row>
    <row r="44" spans="1:5" x14ac:dyDescent="0.2">
      <c r="A44" s="19"/>
      <c r="B44" s="19"/>
      <c r="C44" s="173"/>
      <c r="D44" s="13"/>
      <c r="E44" s="13"/>
    </row>
    <row r="45" spans="1:5" x14ac:dyDescent="0.2">
      <c r="A45" s="19"/>
      <c r="B45" s="19"/>
      <c r="C45" s="171"/>
      <c r="D45" s="18"/>
      <c r="E45" s="18"/>
    </row>
    <row r="46" spans="1:5" x14ac:dyDescent="0.2">
      <c r="A46" s="19"/>
      <c r="B46" s="19"/>
      <c r="C46" s="171"/>
      <c r="D46" s="18"/>
      <c r="E46" s="18"/>
    </row>
    <row r="47" spans="1:5" x14ac:dyDescent="0.2">
      <c r="A47" s="19"/>
      <c r="B47" s="19"/>
      <c r="C47" s="171"/>
      <c r="D47" s="18"/>
      <c r="E47" s="18"/>
    </row>
    <row r="48" spans="1:5" x14ac:dyDescent="0.2">
      <c r="A48" s="19"/>
      <c r="B48" s="19"/>
      <c r="C48" s="171"/>
      <c r="D48" s="18"/>
      <c r="E48" s="18"/>
    </row>
    <row r="49" spans="1:5" x14ac:dyDescent="0.2">
      <c r="A49" s="19"/>
      <c r="B49" s="19"/>
      <c r="C49" s="171"/>
      <c r="D49" s="18"/>
      <c r="E49" s="18"/>
    </row>
    <row r="50" spans="1:5" x14ac:dyDescent="0.2">
      <c r="C50" s="173"/>
    </row>
    <row r="51" spans="1:5" x14ac:dyDescent="0.2">
      <c r="C51" s="173"/>
    </row>
    <row r="52" spans="1:5" x14ac:dyDescent="0.2">
      <c r="C52" s="173"/>
    </row>
    <row r="53" spans="1:5" x14ac:dyDescent="0.2">
      <c r="C53" s="173"/>
    </row>
    <row r="54" spans="1:5" x14ac:dyDescent="0.2">
      <c r="C54" s="173"/>
    </row>
    <row r="55" spans="1:5" x14ac:dyDescent="0.2">
      <c r="C55" s="173"/>
    </row>
    <row r="56" spans="1:5" x14ac:dyDescent="0.2">
      <c r="C56" s="173"/>
    </row>
    <row r="57" spans="1:5" x14ac:dyDescent="0.2">
      <c r="C57" s="173"/>
    </row>
    <row r="58" spans="1:5" x14ac:dyDescent="0.2">
      <c r="C58" s="173"/>
    </row>
  </sheetData>
  <phoneticPr fontId="3" type="noConversion"/>
  <pageMargins left="0.7" right="0.7" top="1" bottom="6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price, OCS-19i, September 2019</cp:keywords>
  <dc:description>mash@ers.usda.gov</dc:description>
  <cp:lastModifiedBy>Windows User</cp:lastModifiedBy>
  <cp:lastPrinted>2014-11-10T20:35:48Z</cp:lastPrinted>
  <dcterms:created xsi:type="dcterms:W3CDTF">2001-11-13T16:22:15Z</dcterms:created>
  <dcterms:modified xsi:type="dcterms:W3CDTF">2019-09-16T13:36:14Z</dcterms:modified>
  <cp:category>Oilseeds</cp:category>
</cp:coreProperties>
</file>